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рт\18.03.2021\проекти рішень\18.03.2021.2\4. фінансові питання\"/>
    </mc:Choice>
  </mc:AlternateContent>
  <bookViews>
    <workbookView xWindow="0" yWindow="0" windowWidth="20490" windowHeight="7620" tabRatio="737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(2)'!$A$1:$P$395</definedName>
  </definedNames>
  <calcPr calcId="162913" fullCalcOnLoad="1"/>
</workbook>
</file>

<file path=xl/calcChain.xml><?xml version="1.0" encoding="utf-8"?>
<calcChain xmlns="http://schemas.openxmlformats.org/spreadsheetml/2006/main">
  <c r="P312" i="8" l="1"/>
  <c r="O312" i="8"/>
  <c r="J312" i="8"/>
  <c r="P366" i="8"/>
  <c r="P367" i="8"/>
  <c r="O366" i="8"/>
  <c r="J365" i="8"/>
  <c r="J366" i="8"/>
  <c r="J367" i="8"/>
  <c r="O15" i="8"/>
  <c r="J38" i="8"/>
  <c r="P38" i="8"/>
  <c r="O37" i="8"/>
  <c r="K313" i="8"/>
  <c r="F313" i="8"/>
  <c r="F312" i="8"/>
  <c r="F303" i="8"/>
  <c r="F136" i="8"/>
  <c r="E136" i="8"/>
  <c r="F119" i="8"/>
  <c r="F108" i="8"/>
  <c r="E108" i="8"/>
  <c r="F57" i="8"/>
  <c r="F330" i="8"/>
  <c r="P365" i="8"/>
  <c r="H312" i="8"/>
  <c r="E365" i="8"/>
  <c r="E389" i="8"/>
  <c r="P389" i="8"/>
  <c r="L312" i="8"/>
  <c r="M312" i="8"/>
  <c r="N312" i="8"/>
  <c r="I312" i="8"/>
  <c r="K275" i="8"/>
  <c r="K330" i="8"/>
  <c r="H387" i="8"/>
  <c r="F387" i="8"/>
  <c r="K272" i="8"/>
  <c r="G272" i="8"/>
  <c r="F272" i="8"/>
  <c r="E272" i="8"/>
  <c r="G269" i="8"/>
  <c r="F269" i="8"/>
  <c r="G266" i="8"/>
  <c r="F266" i="8"/>
  <c r="E266" i="8"/>
  <c r="F128" i="8"/>
  <c r="K74" i="8"/>
  <c r="O74" i="8"/>
  <c r="H74" i="8"/>
  <c r="F74" i="8"/>
  <c r="E74" i="8"/>
  <c r="H57" i="8"/>
  <c r="F17" i="8"/>
  <c r="G276" i="8"/>
  <c r="F276" i="8"/>
  <c r="E276" i="8"/>
  <c r="G313" i="8"/>
  <c r="G312" i="8"/>
  <c r="K320" i="8"/>
  <c r="F53" i="8"/>
  <c r="F252" i="8"/>
  <c r="K387" i="8"/>
  <c r="O387" i="8"/>
  <c r="J387" i="8"/>
  <c r="E17" i="8"/>
  <c r="K102" i="8"/>
  <c r="K100" i="8"/>
  <c r="K91" i="8"/>
  <c r="O287" i="8"/>
  <c r="K356" i="8"/>
  <c r="O356" i="8"/>
  <c r="J356" i="8"/>
  <c r="K333" i="8"/>
  <c r="O102" i="8"/>
  <c r="J102" i="8"/>
  <c r="O114" i="8"/>
  <c r="J114" i="8"/>
  <c r="O118" i="8"/>
  <c r="O126" i="8"/>
  <c r="J126" i="8"/>
  <c r="O135" i="8"/>
  <c r="O142" i="8"/>
  <c r="J142" i="8"/>
  <c r="L39" i="8"/>
  <c r="J39" i="8"/>
  <c r="P39" i="8"/>
  <c r="K266" i="8"/>
  <c r="E114" i="8"/>
  <c r="E118" i="8"/>
  <c r="E126" i="8"/>
  <c r="E135" i="8"/>
  <c r="E141" i="8"/>
  <c r="E144" i="8"/>
  <c r="P144" i="8"/>
  <c r="E313" i="8"/>
  <c r="P313" i="8"/>
  <c r="E252" i="8"/>
  <c r="E53" i="8"/>
  <c r="H269" i="8"/>
  <c r="K269" i="8"/>
  <c r="O269" i="8"/>
  <c r="J269" i="8"/>
  <c r="E269" i="8"/>
  <c r="E268" i="8"/>
  <c r="P268" i="8"/>
  <c r="E239" i="8"/>
  <c r="E57" i="8"/>
  <c r="K364" i="8"/>
  <c r="O364" i="8"/>
  <c r="J364" i="8"/>
  <c r="K245" i="8"/>
  <c r="O245" i="8"/>
  <c r="J245" i="8"/>
  <c r="F245" i="8"/>
  <c r="K349" i="8"/>
  <c r="O349" i="8"/>
  <c r="J349" i="8"/>
  <c r="K327" i="8"/>
  <c r="O327" i="8"/>
  <c r="J327" i="8"/>
  <c r="P327" i="8"/>
  <c r="K347" i="8"/>
  <c r="K57" i="8"/>
  <c r="O57" i="8"/>
  <c r="J57" i="8"/>
  <c r="E119" i="8"/>
  <c r="O313" i="8"/>
  <c r="E287" i="8"/>
  <c r="K254" i="8"/>
  <c r="F254" i="8"/>
  <c r="E254" i="8"/>
  <c r="K252" i="8"/>
  <c r="F152" i="8"/>
  <c r="E152" i="8"/>
  <c r="F258" i="8"/>
  <c r="K352" i="8"/>
  <c r="O352" i="8"/>
  <c r="J352" i="8"/>
  <c r="P352" i="8"/>
  <c r="O70" i="8"/>
  <c r="J70" i="8"/>
  <c r="O71" i="8"/>
  <c r="O73" i="8"/>
  <c r="J73" i="8"/>
  <c r="J71" i="8"/>
  <c r="P71" i="8"/>
  <c r="J72" i="8"/>
  <c r="E73" i="8"/>
  <c r="P73" i="8"/>
  <c r="L37" i="8"/>
  <c r="K314" i="8"/>
  <c r="O314" i="8"/>
  <c r="J314" i="8"/>
  <c r="K315" i="8"/>
  <c r="K312" i="8"/>
  <c r="K303" i="8"/>
  <c r="O315" i="8"/>
  <c r="J315" i="8"/>
  <c r="K339" i="8"/>
  <c r="O339" i="8"/>
  <c r="J339" i="8"/>
  <c r="G258" i="8"/>
  <c r="G257" i="8"/>
  <c r="G256" i="8"/>
  <c r="G245" i="8"/>
  <c r="G244" i="8"/>
  <c r="G242" i="8"/>
  <c r="H17" i="8"/>
  <c r="H16" i="8"/>
  <c r="H14" i="8"/>
  <c r="G17" i="8"/>
  <c r="F383" i="8"/>
  <c r="F382" i="8"/>
  <c r="G383" i="8"/>
  <c r="G382" i="8"/>
  <c r="H383" i="8"/>
  <c r="H382" i="8"/>
  <c r="I383" i="8"/>
  <c r="I382" i="8"/>
  <c r="K383" i="8"/>
  <c r="K382" i="8"/>
  <c r="L383" i="8"/>
  <c r="L382" i="8"/>
  <c r="M383" i="8"/>
  <c r="M382" i="8"/>
  <c r="N383" i="8"/>
  <c r="N382" i="8"/>
  <c r="O384" i="8"/>
  <c r="E384" i="8"/>
  <c r="E383" i="8"/>
  <c r="E382" i="8"/>
  <c r="G57" i="8"/>
  <c r="G85" i="8"/>
  <c r="F85" i="8"/>
  <c r="E85" i="8"/>
  <c r="P85" i="8"/>
  <c r="E81" i="8"/>
  <c r="E82" i="8"/>
  <c r="O82" i="8"/>
  <c r="J82" i="8"/>
  <c r="E84" i="8"/>
  <c r="P84" i="8"/>
  <c r="O84" i="8"/>
  <c r="J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3" i="8"/>
  <c r="E86" i="8"/>
  <c r="E87" i="8"/>
  <c r="E88" i="8"/>
  <c r="E89" i="8"/>
  <c r="E58" i="8"/>
  <c r="E52" i="8"/>
  <c r="I51" i="8"/>
  <c r="M51" i="8"/>
  <c r="M42" i="8"/>
  <c r="N51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131" i="8"/>
  <c r="F232" i="8"/>
  <c r="E232" i="8"/>
  <c r="F72" i="8"/>
  <c r="E72" i="8"/>
  <c r="P72" i="8"/>
  <c r="G72" i="8"/>
  <c r="G43" i="8"/>
  <c r="G68" i="8"/>
  <c r="O101" i="8"/>
  <c r="J101" i="8"/>
  <c r="O136" i="8"/>
  <c r="J136" i="8"/>
  <c r="P136" i="8"/>
  <c r="J118" i="8"/>
  <c r="J135" i="8"/>
  <c r="F102" i="8"/>
  <c r="L74" i="8"/>
  <c r="L51" i="8"/>
  <c r="L42" i="8"/>
  <c r="F370" i="8"/>
  <c r="F368" i="8"/>
  <c r="H266" i="8"/>
  <c r="H252" i="8"/>
  <c r="H251" i="8"/>
  <c r="F251" i="8"/>
  <c r="E251" i="8"/>
  <c r="H249" i="8"/>
  <c r="F249" i="8"/>
  <c r="E249" i="8"/>
  <c r="P249" i="8"/>
  <c r="H246" i="8"/>
  <c r="H244" i="8"/>
  <c r="H242" i="8"/>
  <c r="F246" i="8"/>
  <c r="H213" i="8"/>
  <c r="F213" i="8"/>
  <c r="E213" i="8"/>
  <c r="H210" i="8"/>
  <c r="H151" i="8"/>
  <c r="H149" i="8"/>
  <c r="F210" i="8"/>
  <c r="H80" i="8"/>
  <c r="F80" i="8"/>
  <c r="E80" i="8"/>
  <c r="H53" i="8"/>
  <c r="H238" i="8"/>
  <c r="H237" i="8"/>
  <c r="H236" i="8"/>
  <c r="F238" i="8"/>
  <c r="F237" i="8"/>
  <c r="F236" i="8"/>
  <c r="H152" i="8"/>
  <c r="G101" i="8"/>
  <c r="G100" i="8"/>
  <c r="G91" i="8"/>
  <c r="F101" i="8"/>
  <c r="F67" i="8"/>
  <c r="E67" i="8"/>
  <c r="F32" i="8"/>
  <c r="E32" i="8"/>
  <c r="K17" i="8"/>
  <c r="L100" i="8"/>
  <c r="L91" i="8"/>
  <c r="M151" i="8"/>
  <c r="M149" i="8"/>
  <c r="N151" i="8"/>
  <c r="L151" i="8"/>
  <c r="K151" i="8"/>
  <c r="K149" i="8"/>
  <c r="F34" i="8"/>
  <c r="E34" i="8"/>
  <c r="F264" i="8"/>
  <c r="E264" i="8"/>
  <c r="F262" i="8"/>
  <c r="F261" i="8"/>
  <c r="E261" i="8"/>
  <c r="O328" i="8"/>
  <c r="J328" i="8"/>
  <c r="E258" i="8"/>
  <c r="J360" i="8"/>
  <c r="O249" i="8"/>
  <c r="J249" i="8"/>
  <c r="E21" i="8"/>
  <c r="E23" i="8"/>
  <c r="E24" i="8"/>
  <c r="P24" i="8"/>
  <c r="L310" i="8"/>
  <c r="M310" i="8"/>
  <c r="N310" i="8"/>
  <c r="O310" i="8"/>
  <c r="K310" i="8"/>
  <c r="J355" i="8"/>
  <c r="P355" i="8"/>
  <c r="J287" i="8"/>
  <c r="J319" i="8"/>
  <c r="P319" i="8"/>
  <c r="O309" i="8"/>
  <c r="K309" i="8"/>
  <c r="F48" i="8"/>
  <c r="E48" i="8"/>
  <c r="K45" i="8"/>
  <c r="O45" i="8"/>
  <c r="J45" i="8"/>
  <c r="E140" i="8"/>
  <c r="P140" i="8"/>
  <c r="E142" i="8"/>
  <c r="E143" i="8"/>
  <c r="E145" i="8"/>
  <c r="P145" i="8"/>
  <c r="F96" i="8"/>
  <c r="O338" i="8"/>
  <c r="J338" i="8"/>
  <c r="E129" i="8"/>
  <c r="P129" i="8"/>
  <c r="O267" i="8"/>
  <c r="J267" i="8"/>
  <c r="P267" i="8"/>
  <c r="O107" i="8"/>
  <c r="J107" i="8"/>
  <c r="J97" i="8"/>
  <c r="K97" i="8"/>
  <c r="O146" i="8"/>
  <c r="J146" i="8"/>
  <c r="K44" i="8"/>
  <c r="O44" i="8"/>
  <c r="L303" i="8"/>
  <c r="M303" i="8"/>
  <c r="N303" i="8"/>
  <c r="O293" i="8"/>
  <c r="J293" i="8"/>
  <c r="P293" i="8"/>
  <c r="E130" i="8"/>
  <c r="E97" i="8"/>
  <c r="F97" i="8"/>
  <c r="O56" i="8"/>
  <c r="J56" i="8"/>
  <c r="E56" i="8"/>
  <c r="E137" i="8"/>
  <c r="O362" i="8"/>
  <c r="J362" i="8"/>
  <c r="P362" i="8"/>
  <c r="G370" i="8"/>
  <c r="G368" i="8"/>
  <c r="G275" i="8"/>
  <c r="G273" i="8"/>
  <c r="G237" i="8"/>
  <c r="G236" i="8"/>
  <c r="O391" i="8"/>
  <c r="J391" i="8"/>
  <c r="E391" i="8"/>
  <c r="O390" i="8"/>
  <c r="J390" i="8"/>
  <c r="P390" i="8"/>
  <c r="O389" i="8"/>
  <c r="E388" i="8"/>
  <c r="N386" i="8"/>
  <c r="N385" i="8"/>
  <c r="M386" i="8"/>
  <c r="M385" i="8"/>
  <c r="L386" i="8"/>
  <c r="L385" i="8"/>
  <c r="I386" i="8"/>
  <c r="I385" i="8"/>
  <c r="H386" i="8"/>
  <c r="H385" i="8"/>
  <c r="G386" i="8"/>
  <c r="G385" i="8"/>
  <c r="J381" i="8"/>
  <c r="E381" i="8"/>
  <c r="E380" i="8"/>
  <c r="O380" i="8"/>
  <c r="N380" i="8"/>
  <c r="M380" i="8"/>
  <c r="M376" i="8"/>
  <c r="M370" i="8"/>
  <c r="M368" i="8"/>
  <c r="L380" i="8"/>
  <c r="K380" i="8"/>
  <c r="K376" i="8"/>
  <c r="I380" i="8"/>
  <c r="I370" i="8"/>
  <c r="I368" i="8"/>
  <c r="H380" i="8"/>
  <c r="H370" i="8"/>
  <c r="H368" i="8"/>
  <c r="O379" i="8"/>
  <c r="J379" i="8"/>
  <c r="P379" i="8"/>
  <c r="O378" i="8"/>
  <c r="J378" i="8"/>
  <c r="P378" i="8"/>
  <c r="O377" i="8"/>
  <c r="E377" i="8"/>
  <c r="N376" i="8"/>
  <c r="L376" i="8"/>
  <c r="I376" i="8"/>
  <c r="H376" i="8"/>
  <c r="E376" i="8"/>
  <c r="O375" i="8"/>
  <c r="J375" i="8"/>
  <c r="E375" i="8"/>
  <c r="O374" i="8"/>
  <c r="J374" i="8"/>
  <c r="O373" i="8"/>
  <c r="E373" i="8"/>
  <c r="O372" i="8"/>
  <c r="J372" i="8"/>
  <c r="E372" i="8"/>
  <c r="O371" i="8"/>
  <c r="J371" i="8"/>
  <c r="P371" i="8"/>
  <c r="E371" i="8"/>
  <c r="E370" i="8"/>
  <c r="E368" i="8"/>
  <c r="K369" i="8"/>
  <c r="O369" i="8"/>
  <c r="J361" i="8"/>
  <c r="P361" i="8"/>
  <c r="E361" i="8"/>
  <c r="E360" i="8"/>
  <c r="P360" i="8"/>
  <c r="J359" i="8"/>
  <c r="E359" i="8"/>
  <c r="O358" i="8"/>
  <c r="J358" i="8"/>
  <c r="E358" i="8"/>
  <c r="P358" i="8"/>
  <c r="O357" i="8"/>
  <c r="J357" i="8"/>
  <c r="E357" i="8"/>
  <c r="E356" i="8"/>
  <c r="O354" i="8"/>
  <c r="J354" i="8"/>
  <c r="E354" i="8"/>
  <c r="O353" i="8"/>
  <c r="J353" i="8"/>
  <c r="P353" i="8"/>
  <c r="E352" i="8"/>
  <c r="O351" i="8"/>
  <c r="J351" i="8"/>
  <c r="E351" i="8"/>
  <c r="O350" i="8"/>
  <c r="J350" i="8"/>
  <c r="P350" i="8"/>
  <c r="E350" i="8"/>
  <c r="E349" i="8"/>
  <c r="O348" i="8"/>
  <c r="J348" i="8"/>
  <c r="E348" i="8"/>
  <c r="P348" i="8"/>
  <c r="E347" i="8"/>
  <c r="O346" i="8"/>
  <c r="J346" i="8"/>
  <c r="O345" i="8"/>
  <c r="J345" i="8"/>
  <c r="E345" i="8"/>
  <c r="E344" i="8"/>
  <c r="O343" i="8"/>
  <c r="J343" i="8"/>
  <c r="P343" i="8"/>
  <c r="E343" i="8"/>
  <c r="E342" i="8"/>
  <c r="N342" i="8"/>
  <c r="M342" i="8"/>
  <c r="M323" i="8"/>
  <c r="M340" i="8"/>
  <c r="M334" i="8"/>
  <c r="L342" i="8"/>
  <c r="I342" i="8"/>
  <c r="H342" i="8"/>
  <c r="G342" i="8"/>
  <c r="F342" i="8"/>
  <c r="O341" i="8"/>
  <c r="J341" i="8"/>
  <c r="P341" i="8"/>
  <c r="E341" i="8"/>
  <c r="E340" i="8"/>
  <c r="N340" i="8"/>
  <c r="L340" i="8"/>
  <c r="I340" i="8"/>
  <c r="H340" i="8"/>
  <c r="G340" i="8"/>
  <c r="F340" i="8"/>
  <c r="E339" i="8"/>
  <c r="E338" i="8"/>
  <c r="O337" i="8"/>
  <c r="J337" i="8"/>
  <c r="E337" i="8"/>
  <c r="O336" i="8"/>
  <c r="J336" i="8"/>
  <c r="P336" i="8"/>
  <c r="O335" i="8"/>
  <c r="O334" i="8"/>
  <c r="N334" i="8"/>
  <c r="L334" i="8"/>
  <c r="J334" i="8"/>
  <c r="E334" i="8"/>
  <c r="P334" i="8"/>
  <c r="O333" i="8"/>
  <c r="J333" i="8"/>
  <c r="E333" i="8"/>
  <c r="P333" i="8"/>
  <c r="O331" i="8"/>
  <c r="J331" i="8"/>
  <c r="P331" i="8"/>
  <c r="O317" i="8"/>
  <c r="J317" i="8"/>
  <c r="O318" i="8"/>
  <c r="J318" i="8"/>
  <c r="P318" i="8"/>
  <c r="O320" i="8"/>
  <c r="J320" i="8"/>
  <c r="O322" i="8"/>
  <c r="J322" i="8"/>
  <c r="L323" i="8"/>
  <c r="O323" i="8"/>
  <c r="J323" i="8"/>
  <c r="O325" i="8"/>
  <c r="J325" i="8"/>
  <c r="O326" i="8"/>
  <c r="J326" i="8"/>
  <c r="P326" i="8"/>
  <c r="E330" i="8"/>
  <c r="E325" i="8"/>
  <c r="O324" i="8"/>
  <c r="J324" i="8"/>
  <c r="E324" i="8"/>
  <c r="N323" i="8"/>
  <c r="I323" i="8"/>
  <c r="H323" i="8"/>
  <c r="G323" i="8"/>
  <c r="G303" i="8"/>
  <c r="F323" i="8"/>
  <c r="E323" i="8"/>
  <c r="E322" i="8"/>
  <c r="O321" i="8"/>
  <c r="J321" i="8"/>
  <c r="P321" i="8"/>
  <c r="E320" i="8"/>
  <c r="E318" i="8"/>
  <c r="E317" i="8"/>
  <c r="P317" i="8"/>
  <c r="O316" i="8"/>
  <c r="O307" i="8"/>
  <c r="E315" i="8"/>
  <c r="E314" i="8"/>
  <c r="O231" i="8"/>
  <c r="J231" i="8"/>
  <c r="K234" i="8"/>
  <c r="O226" i="8"/>
  <c r="J226" i="8"/>
  <c r="K240" i="8"/>
  <c r="K237" i="8"/>
  <c r="K236" i="8"/>
  <c r="K260" i="8"/>
  <c r="O260" i="8"/>
  <c r="J260" i="8"/>
  <c r="K263" i="8"/>
  <c r="O263" i="8"/>
  <c r="J263" i="8"/>
  <c r="E311" i="8"/>
  <c r="N308" i="8"/>
  <c r="M308" i="8"/>
  <c r="L308" i="8"/>
  <c r="K308" i="8"/>
  <c r="L307" i="8"/>
  <c r="J307" i="8"/>
  <c r="P307" i="8"/>
  <c r="N307" i="8"/>
  <c r="M307" i="8"/>
  <c r="K307" i="8"/>
  <c r="N306" i="8"/>
  <c r="M306" i="8"/>
  <c r="L306" i="8"/>
  <c r="K306" i="8"/>
  <c r="N305" i="8"/>
  <c r="M305" i="8"/>
  <c r="L305" i="8"/>
  <c r="K305" i="8"/>
  <c r="K304" i="8"/>
  <c r="O304" i="8"/>
  <c r="J304" i="8"/>
  <c r="P304" i="8"/>
  <c r="J302" i="8"/>
  <c r="E302" i="8"/>
  <c r="P302" i="8"/>
  <c r="J301" i="8"/>
  <c r="E301" i="8"/>
  <c r="E364" i="8"/>
  <c r="O300" i="8"/>
  <c r="J300" i="8"/>
  <c r="P300" i="8"/>
  <c r="O299" i="8"/>
  <c r="J299" i="8"/>
  <c r="P299" i="8"/>
  <c r="O363" i="8"/>
  <c r="J363" i="8"/>
  <c r="P363" i="8"/>
  <c r="O298" i="8"/>
  <c r="J298" i="8"/>
  <c r="E298" i="8"/>
  <c r="P298" i="8"/>
  <c r="E297" i="8"/>
  <c r="P297" i="8"/>
  <c r="O296" i="8"/>
  <c r="J296" i="8"/>
  <c r="E296" i="8"/>
  <c r="O295" i="8"/>
  <c r="J295" i="8"/>
  <c r="O294" i="8"/>
  <c r="J294" i="8"/>
  <c r="O276" i="8"/>
  <c r="O277" i="8"/>
  <c r="J277" i="8"/>
  <c r="O278" i="8"/>
  <c r="J278" i="8"/>
  <c r="O288" i="8"/>
  <c r="J288" i="8"/>
  <c r="O332" i="8"/>
  <c r="J332" i="8"/>
  <c r="O284" i="8"/>
  <c r="J284" i="8"/>
  <c r="O291" i="8"/>
  <c r="J291" i="8"/>
  <c r="O290" i="8"/>
  <c r="J290" i="8"/>
  <c r="O286" i="8"/>
  <c r="J286" i="8"/>
  <c r="O279" i="8"/>
  <c r="J279" i="8"/>
  <c r="N294" i="8"/>
  <c r="I294" i="8"/>
  <c r="E332" i="8"/>
  <c r="O292" i="8"/>
  <c r="J292" i="8"/>
  <c r="E292" i="8"/>
  <c r="N291" i="8"/>
  <c r="I291" i="8"/>
  <c r="E291" i="8"/>
  <c r="E290" i="8"/>
  <c r="E289" i="8"/>
  <c r="P289" i="8"/>
  <c r="E288" i="8"/>
  <c r="P288" i="8"/>
  <c r="E286" i="8"/>
  <c r="O285" i="8"/>
  <c r="J285" i="8"/>
  <c r="E285" i="8"/>
  <c r="E284" i="8"/>
  <c r="E328" i="8"/>
  <c r="O283" i="8"/>
  <c r="J283" i="8"/>
  <c r="E283" i="8"/>
  <c r="O282" i="8"/>
  <c r="J282" i="8"/>
  <c r="E282" i="8"/>
  <c r="O281" i="8"/>
  <c r="J281" i="8"/>
  <c r="E281" i="8"/>
  <c r="O280" i="8"/>
  <c r="J280" i="8"/>
  <c r="P280" i="8"/>
  <c r="E279" i="8"/>
  <c r="N278" i="8"/>
  <c r="M275" i="8"/>
  <c r="M273" i="8"/>
  <c r="L275" i="8"/>
  <c r="L273" i="8"/>
  <c r="I278" i="8"/>
  <c r="E278" i="8"/>
  <c r="E277" i="8"/>
  <c r="H275" i="8"/>
  <c r="H273" i="8"/>
  <c r="K274" i="8"/>
  <c r="F274" i="8"/>
  <c r="E274" i="8"/>
  <c r="O272" i="8"/>
  <c r="J272" i="8"/>
  <c r="O271" i="8"/>
  <c r="E271" i="8"/>
  <c r="E270" i="8"/>
  <c r="I270" i="8"/>
  <c r="O268" i="8"/>
  <c r="J268" i="8"/>
  <c r="I268" i="8"/>
  <c r="N265" i="8"/>
  <c r="M265" i="8"/>
  <c r="M260" i="8"/>
  <c r="M263" i="8"/>
  <c r="L265" i="8"/>
  <c r="I265" i="8"/>
  <c r="E265" i="8"/>
  <c r="O264" i="8"/>
  <c r="J264" i="8"/>
  <c r="N263" i="8"/>
  <c r="L263" i="8"/>
  <c r="I263" i="8"/>
  <c r="E263" i="8"/>
  <c r="O262" i="8"/>
  <c r="J262" i="8"/>
  <c r="E262" i="8"/>
  <c r="O261" i="8"/>
  <c r="J261" i="8"/>
  <c r="N260" i="8"/>
  <c r="L260" i="8"/>
  <c r="I260" i="8"/>
  <c r="E260" i="8"/>
  <c r="O248" i="8"/>
  <c r="J248" i="8"/>
  <c r="E248" i="8"/>
  <c r="O259" i="8"/>
  <c r="J259" i="8"/>
  <c r="E259" i="8"/>
  <c r="O258" i="8"/>
  <c r="J258" i="8"/>
  <c r="I257" i="8"/>
  <c r="I256" i="8"/>
  <c r="O255" i="8"/>
  <c r="J255" i="8"/>
  <c r="E255" i="8"/>
  <c r="O254" i="8"/>
  <c r="J254" i="8"/>
  <c r="P254" i="8"/>
  <c r="O253" i="8"/>
  <c r="J253" i="8"/>
  <c r="I253" i="8"/>
  <c r="I244" i="8"/>
  <c r="I242" i="8"/>
  <c r="O252" i="8"/>
  <c r="J252" i="8"/>
  <c r="O251" i="8"/>
  <c r="J251" i="8"/>
  <c r="P251" i="8"/>
  <c r="O247" i="8"/>
  <c r="O246" i="8"/>
  <c r="J246" i="8"/>
  <c r="P246" i="8"/>
  <c r="N244" i="8"/>
  <c r="N242" i="8"/>
  <c r="M244" i="8"/>
  <c r="M242" i="8"/>
  <c r="L244" i="8"/>
  <c r="L242" i="8"/>
  <c r="N243" i="8"/>
  <c r="M243" i="8"/>
  <c r="L243" i="8"/>
  <c r="K243" i="8"/>
  <c r="E241" i="8"/>
  <c r="P241" i="8"/>
  <c r="O240" i="8"/>
  <c r="N240" i="8"/>
  <c r="N237" i="8"/>
  <c r="N236" i="8"/>
  <c r="N126" i="8"/>
  <c r="N141" i="8"/>
  <c r="M240" i="8"/>
  <c r="M237" i="8"/>
  <c r="M236" i="8"/>
  <c r="M100" i="8"/>
  <c r="M91" i="8"/>
  <c r="L240" i="8"/>
  <c r="L237" i="8"/>
  <c r="L236" i="8"/>
  <c r="J240" i="8"/>
  <c r="I240" i="8"/>
  <c r="I100" i="8"/>
  <c r="I91" i="8"/>
  <c r="O239" i="8"/>
  <c r="J239" i="8"/>
  <c r="P239" i="8"/>
  <c r="O238" i="8"/>
  <c r="J238" i="8"/>
  <c r="J235" i="8"/>
  <c r="J234" i="8"/>
  <c r="E235" i="8"/>
  <c r="O234" i="8"/>
  <c r="N234" i="8"/>
  <c r="M234" i="8"/>
  <c r="L234" i="8"/>
  <c r="I234" i="8"/>
  <c r="E233" i="8"/>
  <c r="P233" i="8"/>
  <c r="O232" i="8"/>
  <c r="J232" i="8"/>
  <c r="P232" i="8"/>
  <c r="E231" i="8"/>
  <c r="E230" i="8"/>
  <c r="P230" i="8"/>
  <c r="E229" i="8"/>
  <c r="P229" i="8"/>
  <c r="O228" i="8"/>
  <c r="J228" i="8"/>
  <c r="P228" i="8"/>
  <c r="E228" i="8"/>
  <c r="E227" i="8"/>
  <c r="P227" i="8"/>
  <c r="E226" i="8"/>
  <c r="J225" i="8"/>
  <c r="P225" i="8"/>
  <c r="E225" i="8"/>
  <c r="J224" i="8"/>
  <c r="P224" i="8"/>
  <c r="E224" i="8"/>
  <c r="O223" i="8"/>
  <c r="O222" i="8"/>
  <c r="E223" i="8"/>
  <c r="E222" i="8"/>
  <c r="I222" i="8"/>
  <c r="J221" i="8"/>
  <c r="E221" i="8"/>
  <c r="P221" i="8"/>
  <c r="O220" i="8"/>
  <c r="J220" i="8"/>
  <c r="I220" i="8"/>
  <c r="P219" i="8"/>
  <c r="J218" i="8"/>
  <c r="P218" i="8"/>
  <c r="E218" i="8"/>
  <c r="J217" i="8"/>
  <c r="E217" i="8"/>
  <c r="J216" i="8"/>
  <c r="E216" i="8"/>
  <c r="O215" i="8"/>
  <c r="J215" i="8"/>
  <c r="I215" i="8"/>
  <c r="E215" i="8"/>
  <c r="J214" i="8"/>
  <c r="E214" i="8"/>
  <c r="O213" i="8"/>
  <c r="E212" i="8"/>
  <c r="O211" i="8"/>
  <c r="J211" i="8"/>
  <c r="E211" i="8"/>
  <c r="O210" i="8"/>
  <c r="J210" i="8"/>
  <c r="E209" i="8"/>
  <c r="P209" i="8"/>
  <c r="E208" i="8"/>
  <c r="P208" i="8"/>
  <c r="I207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6" i="8"/>
  <c r="P196" i="8"/>
  <c r="E195" i="8"/>
  <c r="P195" i="8"/>
  <c r="J194" i="8"/>
  <c r="E194" i="8"/>
  <c r="J193" i="8"/>
  <c r="J192" i="8"/>
  <c r="E192" i="8"/>
  <c r="J191" i="8"/>
  <c r="J190" i="8"/>
  <c r="E190" i="8"/>
  <c r="J189" i="8"/>
  <c r="E189" i="8"/>
  <c r="J188" i="8"/>
  <c r="E188" i="8"/>
  <c r="J187" i="8"/>
  <c r="P187" i="8"/>
  <c r="E187" i="8"/>
  <c r="J186" i="8"/>
  <c r="P186" i="8"/>
  <c r="E186" i="8"/>
  <c r="J185" i="8"/>
  <c r="E185" i="8"/>
  <c r="J184" i="8"/>
  <c r="P184" i="8"/>
  <c r="E184" i="8"/>
  <c r="J183" i="8"/>
  <c r="E183" i="8"/>
  <c r="J182" i="8"/>
  <c r="E182" i="8"/>
  <c r="J181" i="8"/>
  <c r="E181" i="8"/>
  <c r="J180" i="8"/>
  <c r="E180" i="8"/>
  <c r="J179" i="8"/>
  <c r="E179" i="8"/>
  <c r="J178" i="8"/>
  <c r="E178" i="8"/>
  <c r="J177" i="8"/>
  <c r="E177" i="8"/>
  <c r="P177" i="8"/>
  <c r="J176" i="8"/>
  <c r="E176" i="8"/>
  <c r="J175" i="8"/>
  <c r="E175" i="8"/>
  <c r="O174" i="8"/>
  <c r="J174" i="8"/>
  <c r="I174" i="8"/>
  <c r="E174" i="8"/>
  <c r="J173" i="8"/>
  <c r="P173" i="8"/>
  <c r="E173" i="8"/>
  <c r="J172" i="8"/>
  <c r="P172" i="8"/>
  <c r="E172" i="8"/>
  <c r="J171" i="8"/>
  <c r="J169" i="8"/>
  <c r="E171" i="8"/>
  <c r="J170" i="8"/>
  <c r="E170" i="8"/>
  <c r="O169" i="8"/>
  <c r="I169" i="8"/>
  <c r="O168" i="8"/>
  <c r="J168" i="8"/>
  <c r="I168" i="8"/>
  <c r="E168" i="8"/>
  <c r="P168" i="8"/>
  <c r="J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J160" i="8"/>
  <c r="I160" i="8"/>
  <c r="E160" i="8"/>
  <c r="P160" i="8"/>
  <c r="J159" i="8"/>
  <c r="E159" i="8"/>
  <c r="J158" i="8"/>
  <c r="E158" i="8"/>
  <c r="J157" i="8"/>
  <c r="E157" i="8"/>
  <c r="P157" i="8"/>
  <c r="J156" i="8"/>
  <c r="E156" i="8"/>
  <c r="P156" i="8"/>
  <c r="J155" i="8"/>
  <c r="E155" i="8"/>
  <c r="J154" i="8"/>
  <c r="E154" i="8"/>
  <c r="P154" i="8"/>
  <c r="O153" i="8"/>
  <c r="I153" i="8"/>
  <c r="E153" i="8"/>
  <c r="O152" i="8"/>
  <c r="J152" i="8"/>
  <c r="G151" i="8"/>
  <c r="G149" i="8"/>
  <c r="F150" i="8"/>
  <c r="O148" i="8"/>
  <c r="J148" i="8"/>
  <c r="E148" i="8"/>
  <c r="O147" i="8"/>
  <c r="J147" i="8"/>
  <c r="E147" i="8"/>
  <c r="P147" i="8"/>
  <c r="E146" i="8"/>
  <c r="P146" i="8"/>
  <c r="O143" i="8"/>
  <c r="E94" i="8"/>
  <c r="P94" i="8"/>
  <c r="O139" i="8"/>
  <c r="J139" i="8"/>
  <c r="P139" i="8"/>
  <c r="E139" i="8"/>
  <c r="O138" i="8"/>
  <c r="J138" i="8"/>
  <c r="E138" i="8"/>
  <c r="O137" i="8"/>
  <c r="J137" i="8"/>
  <c r="P137" i="8"/>
  <c r="P134" i="8"/>
  <c r="E133" i="8"/>
  <c r="P133" i="8"/>
  <c r="O132" i="8"/>
  <c r="J132" i="8"/>
  <c r="E132" i="8"/>
  <c r="O128" i="8"/>
  <c r="J128" i="8"/>
  <c r="E128" i="8"/>
  <c r="O127" i="8"/>
  <c r="J127" i="8"/>
  <c r="E127" i="8"/>
  <c r="O125" i="8"/>
  <c r="J125" i="8"/>
  <c r="E125" i="8"/>
  <c r="P125" i="8"/>
  <c r="O124" i="8"/>
  <c r="J124" i="8"/>
  <c r="E124" i="8"/>
  <c r="P124" i="8"/>
  <c r="O123" i="8"/>
  <c r="J123" i="8"/>
  <c r="E123" i="8"/>
  <c r="O122" i="8"/>
  <c r="J122" i="8"/>
  <c r="E122" i="8"/>
  <c r="P122" i="8"/>
  <c r="O121" i="8"/>
  <c r="J121" i="8"/>
  <c r="P121" i="8"/>
  <c r="E121" i="8"/>
  <c r="O120" i="8"/>
  <c r="J120" i="8"/>
  <c r="P120" i="8"/>
  <c r="E120" i="8"/>
  <c r="O119" i="8"/>
  <c r="J119" i="8"/>
  <c r="N118" i="8"/>
  <c r="N100" i="8"/>
  <c r="N91" i="8"/>
  <c r="E117" i="8"/>
  <c r="P117" i="8"/>
  <c r="O116" i="8"/>
  <c r="J116" i="8"/>
  <c r="E116" i="8"/>
  <c r="O115" i="8"/>
  <c r="J115" i="8"/>
  <c r="E115" i="8"/>
  <c r="P115" i="8"/>
  <c r="E113" i="8"/>
  <c r="P113" i="8"/>
  <c r="O112" i="8"/>
  <c r="J112" i="8"/>
  <c r="P112" i="8"/>
  <c r="O111" i="8"/>
  <c r="J111" i="8"/>
  <c r="E111" i="8"/>
  <c r="O110" i="8"/>
  <c r="J110" i="8"/>
  <c r="E110" i="8"/>
  <c r="O109" i="8"/>
  <c r="J109" i="8"/>
  <c r="E109" i="8"/>
  <c r="O108" i="8"/>
  <c r="J108" i="8"/>
  <c r="E107" i="8"/>
  <c r="O106" i="8"/>
  <c r="J106" i="8"/>
  <c r="E106" i="8"/>
  <c r="O105" i="8"/>
  <c r="J105" i="8"/>
  <c r="P105" i="8"/>
  <c r="O104" i="8"/>
  <c r="J104" i="8"/>
  <c r="E104" i="8"/>
  <c r="O103" i="8"/>
  <c r="J103" i="8"/>
  <c r="E103" i="8"/>
  <c r="H100" i="8"/>
  <c r="H91" i="8"/>
  <c r="K99" i="8"/>
  <c r="O99" i="8"/>
  <c r="J99" i="8"/>
  <c r="P99" i="8"/>
  <c r="J98" i="8"/>
  <c r="E96" i="8"/>
  <c r="P96" i="8"/>
  <c r="K95" i="8"/>
  <c r="I95" i="8"/>
  <c r="H95" i="8"/>
  <c r="G95" i="8"/>
  <c r="F95" i="8"/>
  <c r="K94" i="8"/>
  <c r="K93" i="8"/>
  <c r="O93" i="8"/>
  <c r="J93" i="8"/>
  <c r="F93" i="8"/>
  <c r="E93" i="8"/>
  <c r="P93" i="8"/>
  <c r="N92" i="8"/>
  <c r="M92" i="8"/>
  <c r="L92" i="8"/>
  <c r="K92" i="8"/>
  <c r="I92" i="8"/>
  <c r="H92" i="8"/>
  <c r="G92" i="8"/>
  <c r="F92" i="8"/>
  <c r="E92" i="8"/>
  <c r="O89" i="8"/>
  <c r="O88" i="8"/>
  <c r="J88" i="8"/>
  <c r="P88" i="8"/>
  <c r="O87" i="8"/>
  <c r="J87" i="8"/>
  <c r="O86" i="8"/>
  <c r="J86" i="8"/>
  <c r="O83" i="8"/>
  <c r="J83" i="8"/>
  <c r="O80" i="8"/>
  <c r="J80" i="8"/>
  <c r="O79" i="8"/>
  <c r="J79" i="8"/>
  <c r="O78" i="8"/>
  <c r="J78" i="8"/>
  <c r="O77" i="8"/>
  <c r="J77" i="8"/>
  <c r="O76" i="8"/>
  <c r="J76" i="8"/>
  <c r="P76" i="8"/>
  <c r="O75" i="8"/>
  <c r="J75" i="8"/>
  <c r="O69" i="8"/>
  <c r="J69" i="8"/>
  <c r="O67" i="8"/>
  <c r="J67" i="8"/>
  <c r="O65" i="8"/>
  <c r="J65" i="8"/>
  <c r="O64" i="8"/>
  <c r="J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O54" i="8"/>
  <c r="J54" i="8"/>
  <c r="P54" i="8"/>
  <c r="E54" i="8"/>
  <c r="O53" i="8"/>
  <c r="J53" i="8"/>
  <c r="P53" i="8"/>
  <c r="O52" i="8"/>
  <c r="J52" i="8"/>
  <c r="N50" i="8"/>
  <c r="M50" i="8"/>
  <c r="L50" i="8"/>
  <c r="K50" i="8"/>
  <c r="I50" i="8"/>
  <c r="H50" i="8"/>
  <c r="G50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O23" i="8"/>
  <c r="J23" i="8"/>
  <c r="E22" i="8"/>
  <c r="O21" i="8"/>
  <c r="O20" i="8"/>
  <c r="J20" i="8"/>
  <c r="I16" i="8"/>
  <c r="I14" i="8"/>
  <c r="E20" i="8"/>
  <c r="J19" i="8"/>
  <c r="E19" i="8"/>
  <c r="P19" i="8"/>
  <c r="J18" i="8"/>
  <c r="E18" i="8"/>
  <c r="F15" i="8"/>
  <c r="E15" i="8"/>
  <c r="E387" i="8"/>
  <c r="E386" i="8"/>
  <c r="E385" i="8"/>
  <c r="F386" i="8"/>
  <c r="F385" i="8"/>
  <c r="E191" i="8"/>
  <c r="P191" i="8"/>
  <c r="E197" i="8"/>
  <c r="P197" i="8"/>
  <c r="E193" i="8"/>
  <c r="O311" i="8"/>
  <c r="J311" i="8"/>
  <c r="M16" i="8"/>
  <c r="M14" i="8"/>
  <c r="O227" i="8"/>
  <c r="J227" i="8"/>
  <c r="G16" i="8"/>
  <c r="G14" i="8"/>
  <c r="N16" i="8"/>
  <c r="N14" i="8"/>
  <c r="O22" i="8"/>
  <c r="N149" i="8"/>
  <c r="L149" i="8"/>
  <c r="P130" i="8"/>
  <c r="E95" i="8"/>
  <c r="J316" i="8"/>
  <c r="P316" i="8"/>
  <c r="E238" i="8"/>
  <c r="F16" i="8"/>
  <c r="F14" i="8"/>
  <c r="P388" i="8"/>
  <c r="E294" i="8"/>
  <c r="E246" i="8"/>
  <c r="E59" i="8"/>
  <c r="E101" i="8"/>
  <c r="G66" i="8"/>
  <c r="F66" i="8"/>
  <c r="F43" i="8"/>
  <c r="E43" i="8"/>
  <c r="P43" i="8"/>
  <c r="E66" i="8"/>
  <c r="P66" i="8"/>
  <c r="E102" i="8"/>
  <c r="G51" i="8"/>
  <c r="G42" i="8"/>
  <c r="K370" i="8"/>
  <c r="K368" i="8"/>
  <c r="L370" i="8"/>
  <c r="L368" i="8"/>
  <c r="O30" i="8"/>
  <c r="J30" i="8"/>
  <c r="J90" i="8"/>
  <c r="J49" i="8"/>
  <c r="P301" i="8"/>
  <c r="O40" i="8"/>
  <c r="J40" i="8"/>
  <c r="P40" i="8"/>
  <c r="E150" i="8"/>
  <c r="P150" i="8"/>
  <c r="J310" i="8"/>
  <c r="P310" i="8"/>
  <c r="P314" i="8"/>
  <c r="J309" i="8"/>
  <c r="P309" i="8"/>
  <c r="I275" i="8"/>
  <c r="I273" i="8"/>
  <c r="E253" i="8"/>
  <c r="J377" i="8"/>
  <c r="J389" i="8"/>
  <c r="J386" i="8"/>
  <c r="J385" i="8"/>
  <c r="P167" i="8"/>
  <c r="O330" i="8"/>
  <c r="J330" i="8"/>
  <c r="P179" i="8"/>
  <c r="O306" i="8"/>
  <c r="I303" i="8"/>
  <c r="O340" i="8"/>
  <c r="O344" i="8"/>
  <c r="J344" i="8"/>
  <c r="P344" i="8"/>
  <c r="P258" i="8"/>
  <c r="J313" i="8"/>
  <c r="K386" i="8"/>
  <c r="K385" i="8"/>
  <c r="K273" i="8"/>
  <c r="O347" i="8"/>
  <c r="J347" i="8"/>
  <c r="K51" i="8"/>
  <c r="K42" i="8"/>
  <c r="F51" i="8"/>
  <c r="F42" i="8"/>
  <c r="P364" i="8"/>
  <c r="O342" i="8"/>
  <c r="J342" i="8"/>
  <c r="P342" i="8"/>
  <c r="O207" i="8"/>
  <c r="J207" i="8"/>
  <c r="P215" i="8"/>
  <c r="P264" i="8"/>
  <c r="P65" i="8"/>
  <c r="O274" i="8"/>
  <c r="J274" i="8"/>
  <c r="J373" i="8"/>
  <c r="P373" i="8"/>
  <c r="O376" i="8"/>
  <c r="O370" i="8"/>
  <c r="O368" i="8"/>
  <c r="P387" i="8"/>
  <c r="P377" i="8"/>
  <c r="P238" i="8"/>
  <c r="O243" i="8"/>
  <c r="J247" i="8"/>
  <c r="J369" i="8"/>
  <c r="P369" i="8"/>
  <c r="P374" i="8"/>
  <c r="N370" i="8"/>
  <c r="N368" i="8"/>
  <c r="K16" i="8"/>
  <c r="K14" i="8"/>
  <c r="O17" i="8"/>
  <c r="J17" i="8"/>
  <c r="E131" i="8"/>
  <c r="P131" i="8"/>
  <c r="F98" i="8"/>
  <c r="E98" i="8"/>
  <c r="P98" i="8"/>
  <c r="E90" i="8"/>
  <c r="P90" i="8"/>
  <c r="O90" i="8"/>
  <c r="K49" i="8"/>
  <c r="O49" i="8"/>
  <c r="L16" i="8"/>
  <c r="L14" i="8"/>
  <c r="L392" i="8"/>
  <c r="J37" i="8"/>
  <c r="P37" i="8"/>
  <c r="P114" i="8"/>
  <c r="J44" i="8"/>
  <c r="P52" i="8"/>
  <c r="P78" i="8"/>
  <c r="P132" i="8"/>
  <c r="P162" i="8"/>
  <c r="P214" i="8"/>
  <c r="P226" i="8"/>
  <c r="P231" i="8"/>
  <c r="P356" i="8"/>
  <c r="K244" i="8"/>
  <c r="K242" i="8"/>
  <c r="P281" i="8"/>
  <c r="P332" i="8"/>
  <c r="P349" i="8"/>
  <c r="P18" i="8"/>
  <c r="P148" i="8"/>
  <c r="P183" i="8"/>
  <c r="P211" i="8"/>
  <c r="P216" i="8"/>
  <c r="P217" i="8"/>
  <c r="M257" i="8"/>
  <c r="M256" i="8"/>
  <c r="M392" i="8"/>
  <c r="N257" i="8"/>
  <c r="N256" i="8"/>
  <c r="N275" i="8"/>
  <c r="N273" i="8"/>
  <c r="P291" i="8"/>
  <c r="H303" i="8"/>
  <c r="P375" i="8"/>
  <c r="P56" i="8"/>
  <c r="F257" i="8"/>
  <c r="F256" i="8"/>
  <c r="P279" i="8"/>
  <c r="P338" i="8"/>
  <c r="P159" i="8"/>
  <c r="P192" i="8"/>
  <c r="P328" i="8"/>
  <c r="O51" i="8"/>
  <c r="O42" i="8"/>
  <c r="J74" i="8"/>
  <c r="P347" i="8"/>
  <c r="P101" i="8"/>
  <c r="P44" i="8"/>
  <c r="J50" i="8"/>
  <c r="P50" i="8"/>
  <c r="O50" i="8"/>
  <c r="O48" i="8"/>
  <c r="J48" i="8"/>
  <c r="P48" i="8"/>
  <c r="J62" i="8"/>
  <c r="P62" i="8"/>
  <c r="O212" i="8"/>
  <c r="J212" i="8"/>
  <c r="P212" i="8"/>
  <c r="J213" i="8"/>
  <c r="O237" i="8"/>
  <c r="O236" i="8"/>
  <c r="E240" i="8"/>
  <c r="P240" i="8"/>
  <c r="I237" i="8"/>
  <c r="I236" i="8"/>
  <c r="L257" i="8"/>
  <c r="L256" i="8"/>
  <c r="O95" i="8"/>
  <c r="J95" i="8"/>
  <c r="P95" i="8"/>
  <c r="O94" i="8"/>
  <c r="J94" i="8"/>
  <c r="J143" i="8"/>
  <c r="P143" i="8"/>
  <c r="E169" i="8"/>
  <c r="P170" i="8"/>
  <c r="P372" i="8"/>
  <c r="F275" i="8"/>
  <c r="F273" i="8"/>
  <c r="E295" i="8"/>
  <c r="P135" i="8"/>
  <c r="E210" i="8"/>
  <c r="P210" i="8"/>
  <c r="F151" i="8"/>
  <c r="F149" i="8"/>
  <c r="O383" i="8"/>
  <c r="O382" i="8"/>
  <c r="J384" i="8"/>
  <c r="J383" i="8"/>
  <c r="J382" i="8"/>
  <c r="O386" i="8"/>
  <c r="O385" i="8"/>
  <c r="O16" i="8"/>
  <c r="O14" i="8"/>
  <c r="J308" i="8"/>
  <c r="P308" i="8"/>
  <c r="P247" i="8"/>
  <c r="P243" i="8"/>
  <c r="J243" i="8"/>
  <c r="J376" i="8"/>
  <c r="P74" i="8"/>
  <c r="O151" i="8"/>
  <c r="O149" i="8"/>
  <c r="P376" i="8"/>
  <c r="P391" i="8"/>
  <c r="P386" i="8"/>
  <c r="F100" i="8"/>
  <c r="F91" i="8"/>
  <c r="P108" i="8"/>
  <c r="P260" i="8"/>
  <c r="P213" i="8"/>
  <c r="O308" i="8"/>
  <c r="P253" i="8"/>
  <c r="P59" i="8"/>
  <c r="P25" i="8"/>
  <c r="P33" i="8"/>
  <c r="P67" i="8"/>
  <c r="P164" i="8"/>
  <c r="P176" i="8"/>
  <c r="P180" i="8"/>
  <c r="P185" i="8"/>
  <c r="P188" i="8"/>
  <c r="P189" i="8"/>
  <c r="P190" i="8"/>
  <c r="P194" i="8"/>
  <c r="J151" i="8"/>
  <c r="J149" i="8"/>
  <c r="P255" i="8"/>
  <c r="P282" i="8"/>
  <c r="P283" i="8"/>
  <c r="P359" i="8"/>
  <c r="P269" i="8"/>
  <c r="J141" i="8"/>
  <c r="J100" i="8"/>
  <c r="J91" i="8"/>
  <c r="N392" i="8"/>
  <c r="P385" i="8"/>
  <c r="I151" i="8"/>
  <c r="E220" i="8"/>
  <c r="P220" i="8"/>
  <c r="E234" i="8"/>
  <c r="P234" i="8"/>
  <c r="P235" i="8"/>
  <c r="J271" i="8"/>
  <c r="J270" i="8"/>
  <c r="P270" i="8"/>
  <c r="O270" i="8"/>
  <c r="P274" i="8"/>
  <c r="P311" i="8"/>
  <c r="O305" i="8"/>
  <c r="J335" i="8"/>
  <c r="P346" i="8"/>
  <c r="J306" i="8"/>
  <c r="P306" i="8"/>
  <c r="E245" i="8"/>
  <c r="P245" i="8"/>
  <c r="F244" i="8"/>
  <c r="F242" i="8"/>
  <c r="F392" i="8"/>
  <c r="O266" i="8"/>
  <c r="J266" i="8"/>
  <c r="P266" i="8"/>
  <c r="K265" i="8"/>
  <c r="E16" i="8"/>
  <c r="E14" i="8"/>
  <c r="P384" i="8"/>
  <c r="P383" i="8"/>
  <c r="P382" i="8"/>
  <c r="E49" i="8"/>
  <c r="P49" i="8"/>
  <c r="E237" i="8"/>
  <c r="E236" i="8"/>
  <c r="P236" i="8"/>
  <c r="O141" i="8"/>
  <c r="P237" i="8"/>
  <c r="J223" i="8"/>
  <c r="J303" i="8"/>
  <c r="J237" i="8"/>
  <c r="J236" i="8"/>
  <c r="G392" i="8"/>
  <c r="P55" i="8"/>
  <c r="P116" i="8"/>
  <c r="P138" i="8"/>
  <c r="P171" i="8"/>
  <c r="P169" i="8"/>
  <c r="P174" i="8"/>
  <c r="P248" i="8"/>
  <c r="P278" i="8"/>
  <c r="P323" i="8"/>
  <c r="J340" i="8"/>
  <c r="P340" i="8"/>
  <c r="J380" i="8"/>
  <c r="P380" i="8"/>
  <c r="P370" i="8"/>
  <c r="P381" i="8"/>
  <c r="P97" i="8"/>
  <c r="P261" i="8"/>
  <c r="H51" i="8"/>
  <c r="H42" i="8"/>
  <c r="H392" i="8"/>
  <c r="H257" i="8"/>
  <c r="H256" i="8"/>
  <c r="P330" i="8"/>
  <c r="P20" i="8"/>
  <c r="P158" i="8"/>
  <c r="P252" i="8"/>
  <c r="P294" i="8"/>
  <c r="P322" i="8"/>
  <c r="P325" i="8"/>
  <c r="P320" i="8"/>
  <c r="P337" i="8"/>
  <c r="P345" i="8"/>
  <c r="P351" i="8"/>
  <c r="P357" i="8"/>
  <c r="P57" i="8"/>
  <c r="P142" i="8"/>
  <c r="P89" i="8"/>
  <c r="P82" i="8"/>
  <c r="J15" i="8"/>
  <c r="P290" i="8"/>
  <c r="O275" i="8"/>
  <c r="O273" i="8"/>
  <c r="J276" i="8"/>
  <c r="P276" i="8"/>
  <c r="P275" i="8"/>
  <c r="P86" i="8"/>
  <c r="E51" i="8"/>
  <c r="E42" i="8"/>
  <c r="P17" i="8"/>
  <c r="P295" i="8"/>
  <c r="O97" i="8"/>
  <c r="J51" i="8"/>
  <c r="J42" i="8"/>
  <c r="P64" i="8"/>
  <c r="P75" i="8"/>
  <c r="P77" i="8"/>
  <c r="P79" i="8"/>
  <c r="P123" i="8"/>
  <c r="J153" i="8"/>
  <c r="P153" i="8"/>
  <c r="P163" i="8"/>
  <c r="P277" i="8"/>
  <c r="P263" i="8"/>
  <c r="P339" i="8"/>
  <c r="P354" i="8"/>
  <c r="P70" i="8"/>
  <c r="P193" i="8"/>
  <c r="P60" i="8"/>
  <c r="P106" i="8"/>
  <c r="P109" i="8"/>
  <c r="P110" i="8"/>
  <c r="P127" i="8"/>
  <c r="P161" i="8"/>
  <c r="P165" i="8"/>
  <c r="P166" i="8"/>
  <c r="P175" i="8"/>
  <c r="P181" i="8"/>
  <c r="P182" i="8"/>
  <c r="P259" i="8"/>
  <c r="P262" i="8"/>
  <c r="P271" i="8"/>
  <c r="P272" i="8"/>
  <c r="E275" i="8"/>
  <c r="E273" i="8"/>
  <c r="P285" i="8"/>
  <c r="P284" i="8"/>
  <c r="P296" i="8"/>
  <c r="P315" i="8"/>
  <c r="E257" i="8"/>
  <c r="E256" i="8"/>
  <c r="P80" i="8"/>
  <c r="P102" i="8"/>
  <c r="P118" i="8"/>
  <c r="P87" i="8"/>
  <c r="P152" i="8"/>
  <c r="P287" i="8"/>
  <c r="E312" i="8"/>
  <c r="E303" i="8"/>
  <c r="P303" i="8"/>
  <c r="P141" i="8"/>
  <c r="P126" i="8"/>
  <c r="P103" i="8"/>
  <c r="J92" i="8"/>
  <c r="P92" i="8"/>
  <c r="P69" i="8"/>
  <c r="P83" i="8"/>
  <c r="P119" i="8"/>
  <c r="J275" i="8"/>
  <c r="J273" i="8"/>
  <c r="E100" i="8"/>
  <c r="E91" i="8"/>
  <c r="P91" i="8"/>
  <c r="J244" i="8"/>
  <c r="O100" i="8"/>
  <c r="O91" i="8"/>
  <c r="P51" i="8"/>
  <c r="P42" i="8"/>
  <c r="P107" i="8"/>
  <c r="O244" i="8"/>
  <c r="O242" i="8"/>
  <c r="O92" i="8"/>
  <c r="J21" i="8"/>
  <c r="P21" i="8"/>
  <c r="P30" i="8"/>
  <c r="P31" i="8"/>
  <c r="P104" i="8"/>
  <c r="P111" i="8"/>
  <c r="P128" i="8"/>
  <c r="P155" i="8"/>
  <c r="P178" i="8"/>
  <c r="P286" i="8"/>
  <c r="P324" i="8"/>
  <c r="O303" i="8"/>
  <c r="J22" i="8"/>
  <c r="P22" i="8"/>
  <c r="P23" i="8"/>
  <c r="P27" i="8"/>
  <c r="J16" i="8"/>
  <c r="J14" i="8"/>
  <c r="J257" i="8"/>
  <c r="J256" i="8"/>
  <c r="P273" i="8"/>
  <c r="I149" i="8"/>
  <c r="I392" i="8"/>
  <c r="E151" i="8"/>
  <c r="E244" i="8"/>
  <c r="E242" i="8"/>
  <c r="P223" i="8"/>
  <c r="J222" i="8"/>
  <c r="P222" i="8"/>
  <c r="J370" i="8"/>
  <c r="J368" i="8"/>
  <c r="P368" i="8"/>
  <c r="O265" i="8"/>
  <c r="K257" i="8"/>
  <c r="K256" i="8"/>
  <c r="K392" i="8"/>
  <c r="K398" i="8"/>
  <c r="K400" i="8"/>
  <c r="K402" i="8"/>
  <c r="J305" i="8"/>
  <c r="P305" i="8"/>
  <c r="P335" i="8"/>
  <c r="P16" i="8"/>
  <c r="P14" i="8"/>
  <c r="P100" i="8"/>
  <c r="P257" i="8"/>
  <c r="P256" i="8"/>
  <c r="J242" i="8"/>
  <c r="P242" i="8"/>
  <c r="J265" i="8"/>
  <c r="P265" i="8"/>
  <c r="O257" i="8"/>
  <c r="O256" i="8"/>
  <c r="O392" i="8"/>
  <c r="P244" i="8"/>
  <c r="E149" i="8"/>
  <c r="E392" i="8"/>
  <c r="E406" i="8"/>
  <c r="P151" i="8"/>
  <c r="P149" i="8"/>
  <c r="P392" i="8"/>
  <c r="P398" i="8"/>
  <c r="P400" i="8"/>
  <c r="P402" i="8"/>
  <c r="J392" i="8"/>
  <c r="J398" i="8"/>
  <c r="J400" i="8"/>
  <c r="J402" i="8"/>
  <c r="E405" i="8"/>
  <c r="E398" i="8"/>
  <c r="E400" i="8"/>
  <c r="E402" i="8"/>
</calcChain>
</file>

<file path=xl/sharedStrings.xml><?xml version="1.0" encoding="utf-8"?>
<sst xmlns="http://schemas.openxmlformats.org/spreadsheetml/2006/main" count="1018" uniqueCount="664">
  <si>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</si>
  <si>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</si>
  <si>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</si>
  <si>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</si>
  <si>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</si>
  <si>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</si>
  <si>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</si>
  <si>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</si>
  <si>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</si>
  <si>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</si>
  <si>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</si>
  <si>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</si>
  <si>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</si>
  <si>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</si>
  <si>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</si>
  <si>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</si>
  <si>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</si>
  <si>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</si>
  <si>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</si>
  <si>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</si>
  <si>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</si>
  <si>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</si>
  <si>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</si>
  <si>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</si>
  <si>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</si>
  <si>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</si>
  <si>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</si>
  <si>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</si>
  <si>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</si>
  <si>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</si>
  <si>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</si>
  <si>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</si>
  <si>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</si>
  <si>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</si>
  <si>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</si>
  <si>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</si>
  <si>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</si>
  <si>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</si>
  <si>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</si>
  <si>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</si>
  <si>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</si>
  <si>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</si>
  <si>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</si>
  <si>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</si>
  <si>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</si>
  <si>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</si>
  <si>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</si>
  <si>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</si>
  <si>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</si>
  <si>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</si>
  <si>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</si>
  <si>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</si>
  <si>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</si>
  <si>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</si>
  <si>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</si>
  <si>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</si>
  <si>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</si>
  <si>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</si>
  <si>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</si>
  <si>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</si>
  <si>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</si>
  <si>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</si>
  <si>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</si>
  <si>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</si>
  <si>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</si>
  <si>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</si>
  <si>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</si>
  <si>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</si>
  <si>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</si>
  <si>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</si>
  <si>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</si>
  <si>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</si>
  <si>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</si>
  <si>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</si>
  <si>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</si>
  <si>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</si>
  <si>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</si>
  <si>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</si>
  <si>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</si>
  <si>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</si>
  <si>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</si>
  <si>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</si>
  <si>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</si>
  <si>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</si>
  <si>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</si>
  <si>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</si>
  <si>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</si>
  <si>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</si>
  <si>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</si>
  <si>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</si>
  <si>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</si>
  <si>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</si>
  <si>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</si>
  <si>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</si>
  <si>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</si>
  <si>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</si>
  <si>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</si>
  <si>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</si>
  <si>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</si>
  <si>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</si>
  <si>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</si>
  <si>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</si>
  <si>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</si>
  <si>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</si>
  <si>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</si>
  <si>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</si>
  <si>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</si>
  <si>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</si>
  <si>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</si>
  <si>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</si>
  <si>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</si>
  <si>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</si>
  <si>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</si>
  <si>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</si>
  <si>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</si>
  <si>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</si>
  <si>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</si>
  <si>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</si>
  <si>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</si>
  <si>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</si>
  <si>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</si>
  <si>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</si>
  <si>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</si>
  <si>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</si>
  <si>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</si>
  <si>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</si>
  <si>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</si>
  <si>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</si>
  <si>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</si>
  <si>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</si>
  <si>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</si>
  <si>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</si>
  <si>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</si>
  <si>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</si>
  <si>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</si>
  <si>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</si>
  <si>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</si>
  <si>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</si>
  <si>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</si>
  <si>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</si>
  <si>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</si>
  <si>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</si>
  <si>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</si>
  <si>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</si>
  <si>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</si>
  <si>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</si>
  <si>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</si>
  <si>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</si>
  <si>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</si>
  <si>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</si>
  <si>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</si>
  <si>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</si>
  <si>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</si>
  <si>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</si>
  <si>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</si>
  <si>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</si>
  <si>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</si>
  <si>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</si>
  <si>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</si>
  <si>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</si>
  <si>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</si>
  <si>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</si>
  <si>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</si>
  <si>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</si>
  <si>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</si>
  <si>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</si>
  <si>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</si>
  <si>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</si>
  <si>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</si>
  <si>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</si>
  <si>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</si>
  <si>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</si>
  <si>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</si>
  <si>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</si>
  <si>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</si>
  <si>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</si>
  <si>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</si>
  <si>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</si>
  <si>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</si>
  <si>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</si>
  <si>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</si>
  <si>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</si>
  <si>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</si>
  <si>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</si>
  <si>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</si>
  <si>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</si>
  <si>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</si>
  <si>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</si>
  <si>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</si>
  <si>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</si>
  <si>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</si>
  <si>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</si>
  <si>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</si>
  <si>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</si>
  <si>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</si>
  <si>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</si>
  <si>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</si>
  <si>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</si>
  <si>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</si>
  <si>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</si>
  <si>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</si>
  <si>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</si>
  <si>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</si>
  <si>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</si>
  <si>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</si>
  <si>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</si>
  <si>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</si>
  <si>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</si>
  <si>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</si>
  <si>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</si>
  <si>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</si>
  <si>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</si>
  <si>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</si>
  <si>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</si>
  <si>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</si>
  <si>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</si>
  <si>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</si>
  <si>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</si>
  <si>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</si>
  <si>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</si>
  <si>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</si>
  <si>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</si>
  <si>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</si>
  <si>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</si>
  <si>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</si>
  <si>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</si>
  <si>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</si>
  <si>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</si>
  <si>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</si>
  <si>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</si>
  <si>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</si>
  <si>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</si>
  <si>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</si>
  <si>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</si>
  <si>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</si>
  <si>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</si>
  <si>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</si>
  <si>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</si>
  <si>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</si>
  <si>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</si>
  <si>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</si>
  <si>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</si>
  <si>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</si>
  <si>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</si>
  <si>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</si>
  <si>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</si>
  <si>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</si>
  <si>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</si>
  <si>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</si>
  <si>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</si>
  <si>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</si>
  <si>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</si>
  <si>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</si>
  <si>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</si>
  <si>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</si>
  <si>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</si>
  <si>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</si>
  <si>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</si>
  <si>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</si>
  <si>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</si>
  <si>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</si>
  <si>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</si>
  <si>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</si>
  <si>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</si>
  <si>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</si>
  <si>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</si>
  <si>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</si>
  <si>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</si>
  <si>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</si>
  <si>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</si>
  <si>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</si>
  <si>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</si>
  <si>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</si>
  <si>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</si>
  <si>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</si>
  <si>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</si>
  <si>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</si>
  <si>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</si>
  <si>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</si>
  <si>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</si>
  <si>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</si>
  <si>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</si>
  <si>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</si>
  <si>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</si>
  <si>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</si>
  <si>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</si>
  <si>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</si>
  <si>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</si>
  <si>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</si>
  <si>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</si>
  <si>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</si>
  <si>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</si>
  <si>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</si>
  <si>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</si>
  <si>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</si>
  <si>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</si>
  <si>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</si>
  <si>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</si>
  <si>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</si>
  <si>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</si>
  <si>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</si>
  <si>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</si>
  <si>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</si>
  <si>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</si>
  <si>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</si>
  <si>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</si>
  <si>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</si>
  <si>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</si>
  <si>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</si>
  <si>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</si>
  <si>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</si>
  <si>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</si>
  <si>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</si>
  <si>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</si>
  <si>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</si>
  <si>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</si>
  <si>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</si>
  <si>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</si>
  <si>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</si>
  <si>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</si>
  <si>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</si>
  <si>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</si>
  <si>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</si>
  <si>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</si>
  <si>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</si>
  <si>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</si>
  <si>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</si>
  <si>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</si>
  <si>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</si>
  <si>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</si>
  <si>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</si>
  <si>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</si>
  <si>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</si>
  <si>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</si>
  <si>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</si>
  <si>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</si>
  <si>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</si>
  <si>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</si>
  <si>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</si>
  <si>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</si>
  <si>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</si>
  <si>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</si>
  <si>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</si>
  <si>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</si>
  <si>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</si>
  <si>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</si>
  <si>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</si>
  <si>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</si>
  <si>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</si>
  <si>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</si>
  <si>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</si>
  <si>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</si>
  <si>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</si>
  <si>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</si>
  <si>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</si>
  <si>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</si>
  <si>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</si>
  <si>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</si>
  <si>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</si>
  <si>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</si>
  <si>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</si>
  <si>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</si>
  <si>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</si>
  <si>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</si>
  <si>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</si>
  <si>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</si>
  <si>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</si>
  <si>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</si>
  <si>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</si>
  <si>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</si>
  <si>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</si>
  <si>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</si>
  <si>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</si>
  <si>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</si>
  <si>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</si>
  <si>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</si>
  <si>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</si>
  <si>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</si>
  <si>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</si>
  <si>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</si>
  <si>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</si>
  <si>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</si>
  <si>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</si>
  <si>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</si>
  <si>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</si>
  <si>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</si>
  <si>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</si>
  <si>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</si>
  <si>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</si>
  <si>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</si>
  <si>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</si>
  <si>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</si>
  <si>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</si>
  <si>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</si>
  <si>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</si>
  <si>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</si>
  <si>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</si>
  <si>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</si>
  <si>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</si>
  <si>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</si>
  <si>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</si>
  <si>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</si>
  <si>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</si>
  <si>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</si>
  <si>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</si>
  <si>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</si>
  <si>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</si>
  <si>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</si>
  <si>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</si>
  <si>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</si>
  <si>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</si>
  <si>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</si>
  <si>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</si>
  <si>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</si>
  <si>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</si>
  <si>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</si>
  <si>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</si>
  <si>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</si>
  <si>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</si>
  <si>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</si>
  <si>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</si>
  <si>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</si>
  <si>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</si>
  <si>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</si>
  <si>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</si>
  <si>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</si>
  <si>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</si>
  <si>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</si>
  <si>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</si>
  <si>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</si>
  <si>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</si>
  <si>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</si>
  <si>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</si>
  <si>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</si>
  <si>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</si>
  <si>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</si>
  <si>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</si>
  <si>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</si>
  <si>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</si>
  <si>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</si>
  <si>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</si>
  <si>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</si>
  <si>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</si>
  <si>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</si>
  <si>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</si>
  <si>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</si>
  <si>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</si>
  <si>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</si>
  <si>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</si>
  <si>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</si>
  <si>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</si>
  <si>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</si>
  <si>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</si>
  <si>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</si>
  <si>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</si>
  <si>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</si>
  <si>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</si>
  <si>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</si>
  <si>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</si>
  <si>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</si>
  <si>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</si>
  <si>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</si>
  <si>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</si>
  <si>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</si>
  <si>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</si>
  <si>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</si>
  <si>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</si>
  <si>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</si>
  <si>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</si>
  <si>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</si>
  <si>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</si>
  <si>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</si>
  <si>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</si>
  <si>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</si>
  <si>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</si>
  <si>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</si>
  <si>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</si>
  <si>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</si>
  <si>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</si>
  <si>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</si>
  <si>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</si>
  <si>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</si>
  <si>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</si>
  <si>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</si>
  <si>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</si>
  <si>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</si>
  <si>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</si>
  <si>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</si>
  <si>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</si>
  <si>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</si>
  <si>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</si>
  <si>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</si>
  <si>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</si>
  <si>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</si>
  <si>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</si>
  <si>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</si>
  <si>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</si>
  <si>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</si>
  <si>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</si>
  <si>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</si>
  <si>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</si>
  <si>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</si>
  <si>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</si>
  <si>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</si>
  <si>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</si>
  <si>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</si>
  <si>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</si>
  <si>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</si>
  <si>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</si>
  <si>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</si>
  <si>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</si>
  <si>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</si>
  <si>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</si>
  <si>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</si>
  <si>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</si>
  <si>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</si>
  <si>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</si>
  <si>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</si>
  <si>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</si>
  <si>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</si>
  <si>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</si>
  <si>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</si>
  <si>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</si>
  <si>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</si>
  <si>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</si>
  <si>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</si>
  <si>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</si>
  <si>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</si>
  <si>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</si>
  <si>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</si>
  <si>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</si>
  <si>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</si>
  <si>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</si>
  <si>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</si>
  <si>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</si>
  <si>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</si>
  <si>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</si>
  <si>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</si>
  <si>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</si>
  <si>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</si>
  <si>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</si>
  <si>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</si>
  <si>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</si>
  <si>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</si>
  <si>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</si>
  <si>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</si>
  <si>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</si>
  <si>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</si>
  <si>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</si>
  <si>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</si>
  <si>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</si>
  <si>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</si>
  <si>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</si>
  <si>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</si>
  <si>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</si>
  <si>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</si>
  <si>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</si>
  <si>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</si>
  <si>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</si>
  <si>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</si>
  <si>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</si>
  <si>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</si>
  <si>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</si>
  <si>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</si>
  <si>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</si>
  <si>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</si>
  <si>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</si>
  <si>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</si>
  <si>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</si>
  <si>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</si>
  <si>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</si>
  <si>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</si>
  <si>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</si>
  <si>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</si>
  <si>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</si>
  <si>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</si>
  <si>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</si>
  <si>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</si>
  <si>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</si>
  <si>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</si>
  <si>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</si>
  <si>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</si>
  <si>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</si>
  <si>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</si>
  <si>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</si>
  <si>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</si>
  <si>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</si>
  <si>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</si>
  <si>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</si>
  <si>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</si>
  <si>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</si>
  <si>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</si>
  <si>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</si>
  <si>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</si>
  <si>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</si>
  <si>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</si>
  <si>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</si>
  <si>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</si>
  <si>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</si>
  <si>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</si>
  <si>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</si>
  <si>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</si>
  <si>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</si>
  <si>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</si>
  <si>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</si>
  <si>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</si>
  <si>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</si>
  <si>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</si>
  <si>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</si>
  <si>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</si>
  <si>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</si>
  <si>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</si>
  <si>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</si>
  <si>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</si>
  <si>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</si>
  <si>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</si>
  <si>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</si>
  <si>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</si>
  <si>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</si>
  <si>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</si>
  <si>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</si>
  <si>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</si>
  <si>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</si>
  <si>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</si>
  <si>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</si>
  <si>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</si>
  <si>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</si>
  <si>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</si>
  <si>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</si>
  <si>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</si>
  <si>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</si>
  <si>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</si>
  <si>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</si>
  <si>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</si>
  <si>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</si>
  <si>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</si>
  <si>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</si>
  <si>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</si>
  <si>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</si>
  <si>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</si>
  <si>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</si>
  <si>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</si>
  <si>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</si>
  <si>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</si>
  <si>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</si>
  <si>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</si>
  <si>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</si>
  <si>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</si>
  <si>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</si>
  <si>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</si>
  <si>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</si>
  <si>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</si>
  <si>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</si>
  <si>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</si>
  <si>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</si>
  <si>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</si>
  <si>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</si>
  <si>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</si>
  <si>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</si>
  <si>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</si>
  <si>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</si>
  <si>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</si>
  <si>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1518110</t>
  </si>
  <si>
    <t>за рахунок субвенцї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</si>
</sst>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7"/>
  <sheetViews>
    <sheetView tabSelected="1" topLeftCell="A9" zoomScaleNormal="100" zoomScaleSheetLayoutView="100" workbookViewId="0">
      <pane xSplit="4" ySplit="5" topLeftCell="K386" activePane="bottomRight" state="frozen"/>
      <selection activeCell="A9" sqref="A9"/>
      <selection pane="topRight" activeCell="E9" sqref="E9"/>
      <selection pane="bottomLeft" activeCell="A14" sqref="A14"/>
      <selection pane="bottomRight" activeCell="P313" sqref="P3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522</v>
      </c>
      <c r="P1" s="49"/>
    </row>
    <row r="2" spans="1:18" ht="24" customHeight="1" x14ac:dyDescent="0.2">
      <c r="C2" s="50"/>
      <c r="N2" s="116" t="s">
        <v>93</v>
      </c>
      <c r="O2" s="116"/>
      <c r="P2" s="116"/>
    </row>
    <row r="3" spans="1:18" x14ac:dyDescent="0.2">
      <c r="C3" s="51"/>
      <c r="N3" s="52" t="s">
        <v>523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594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570</v>
      </c>
    </row>
    <row r="8" spans="1:18" x14ac:dyDescent="0.2">
      <c r="C8" s="56"/>
      <c r="P8" s="57" t="s">
        <v>569</v>
      </c>
    </row>
    <row r="9" spans="1:18" ht="15" x14ac:dyDescent="0.25">
      <c r="A9" s="109" t="s">
        <v>525</v>
      </c>
      <c r="B9" s="110" t="s">
        <v>526</v>
      </c>
      <c r="C9" s="111" t="s">
        <v>527</v>
      </c>
      <c r="D9" s="112" t="s">
        <v>528</v>
      </c>
      <c r="E9" s="118" t="s">
        <v>106</v>
      </c>
      <c r="F9" s="118"/>
      <c r="G9" s="118"/>
      <c r="H9" s="118"/>
      <c r="I9" s="118"/>
      <c r="J9" s="118" t="s">
        <v>107</v>
      </c>
      <c r="K9" s="118"/>
      <c r="L9" s="118"/>
      <c r="M9" s="118"/>
      <c r="N9" s="118"/>
      <c r="O9" s="118"/>
      <c r="P9" s="118" t="s">
        <v>108</v>
      </c>
    </row>
    <row r="10" spans="1:18" ht="22.5" customHeight="1" x14ac:dyDescent="0.2">
      <c r="A10" s="109"/>
      <c r="B10" s="110"/>
      <c r="C10" s="111"/>
      <c r="D10" s="112"/>
      <c r="E10" s="113" t="s">
        <v>529</v>
      </c>
      <c r="F10" s="115" t="s">
        <v>109</v>
      </c>
      <c r="G10" s="113" t="s">
        <v>110</v>
      </c>
      <c r="H10" s="113"/>
      <c r="I10" s="113" t="s">
        <v>111</v>
      </c>
      <c r="J10" s="114" t="s">
        <v>530</v>
      </c>
      <c r="K10" s="114" t="s">
        <v>531</v>
      </c>
      <c r="L10" s="113" t="s">
        <v>109</v>
      </c>
      <c r="M10" s="113" t="s">
        <v>110</v>
      </c>
      <c r="N10" s="113"/>
      <c r="O10" s="113" t="s">
        <v>111</v>
      </c>
      <c r="P10" s="118"/>
    </row>
    <row r="11" spans="1:18" ht="21.75" customHeight="1" x14ac:dyDescent="0.2">
      <c r="A11" s="109"/>
      <c r="B11" s="110"/>
      <c r="C11" s="111"/>
      <c r="D11" s="112"/>
      <c r="E11" s="113"/>
      <c r="F11" s="115"/>
      <c r="G11" s="113" t="s">
        <v>112</v>
      </c>
      <c r="H11" s="113" t="s">
        <v>113</v>
      </c>
      <c r="I11" s="113"/>
      <c r="J11" s="114"/>
      <c r="K11" s="114"/>
      <c r="L11" s="113"/>
      <c r="M11" s="113" t="s">
        <v>112</v>
      </c>
      <c r="N11" s="113" t="s">
        <v>113</v>
      </c>
      <c r="O11" s="113"/>
      <c r="P11" s="118"/>
    </row>
    <row r="12" spans="1:18" ht="31.5" customHeight="1" x14ac:dyDescent="0.2">
      <c r="A12" s="109"/>
      <c r="B12" s="110"/>
      <c r="C12" s="111"/>
      <c r="D12" s="112"/>
      <c r="E12" s="113"/>
      <c r="F12" s="115"/>
      <c r="G12" s="113"/>
      <c r="H12" s="113"/>
      <c r="I12" s="113"/>
      <c r="J12" s="114"/>
      <c r="K12" s="114"/>
      <c r="L12" s="113"/>
      <c r="M12" s="113"/>
      <c r="N12" s="113"/>
      <c r="O12" s="113"/>
      <c r="P12" s="118"/>
    </row>
    <row r="13" spans="1:18" s="61" customFormat="1" x14ac:dyDescent="0.2">
      <c r="A13" s="59">
        <v>1</v>
      </c>
      <c r="B13" s="59" t="s">
        <v>73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164</v>
      </c>
      <c r="B14" s="6"/>
      <c r="C14" s="7"/>
      <c r="D14" s="31" t="s">
        <v>114</v>
      </c>
      <c r="E14" s="13">
        <f>E16</f>
        <v>64097819</v>
      </c>
      <c r="F14" s="13">
        <f t="shared" ref="F14:P14" si="0">F16</f>
        <v>64097819</v>
      </c>
      <c r="G14" s="13">
        <f t="shared" si="0"/>
        <v>38979900</v>
      </c>
      <c r="H14" s="13">
        <f t="shared" si="0"/>
        <v>1102500</v>
      </c>
      <c r="I14" s="13">
        <f t="shared" si="0"/>
        <v>0</v>
      </c>
      <c r="J14" s="13">
        <f>J16</f>
        <v>3120177</v>
      </c>
      <c r="K14" s="13">
        <f>K16</f>
        <v>1151000</v>
      </c>
      <c r="L14" s="13">
        <f t="shared" si="0"/>
        <v>1010000</v>
      </c>
      <c r="M14" s="13">
        <f t="shared" si="0"/>
        <v>0</v>
      </c>
      <c r="N14" s="13">
        <f t="shared" si="0"/>
        <v>0</v>
      </c>
      <c r="O14" s="13">
        <f t="shared" si="0"/>
        <v>2110177</v>
      </c>
      <c r="P14" s="13">
        <f t="shared" si="0"/>
        <v>67217996</v>
      </c>
      <c r="R14" s="34"/>
    </row>
    <row r="15" spans="1:18" s="1" customFormat="1" ht="13.5" x14ac:dyDescent="0.2">
      <c r="A15" s="63"/>
      <c r="B15" s="64"/>
      <c r="C15" s="65"/>
      <c r="D15" s="15" t="s">
        <v>663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171</v>
      </c>
      <c r="B16" s="6"/>
      <c r="C16" s="7"/>
      <c r="D16" s="15" t="s">
        <v>114</v>
      </c>
      <c r="E16" s="68">
        <f>E17+E20+E41+E22+E25+E29+E27+E34+E35+E39+E30+E33+E18+E32</f>
        <v>64097819</v>
      </c>
      <c r="F16" s="68">
        <f>F17+F20+F41+F22+F25+F29+F27+F34+F35+F39+F30+F33+F18+F32</f>
        <v>64097819</v>
      </c>
      <c r="G16" s="68">
        <f>G17+G20+G41+G22+G25+G29+G27+G34+G35+G39+G30+G33+G18</f>
        <v>38979900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</f>
        <v>3120177</v>
      </c>
      <c r="K16" s="68">
        <f>K17+K20+K41+K22+K25+K29+K27+K34+K35+K39+K30+K33+K18+K37+K32</f>
        <v>1151000</v>
      </c>
      <c r="L16" s="68">
        <f>L17+L20+L41+L22+L25+L29+L27+L34+L35+L39+L30+L33+L18+L37+L31</f>
        <v>1010000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</f>
        <v>2110177</v>
      </c>
      <c r="P16" s="68">
        <f>P17+P25+P27+P29+P31+P32+P34+P37+P39+P41</f>
        <v>67217996</v>
      </c>
    </row>
    <row r="17" spans="1:17" ht="41.25" customHeight="1" x14ac:dyDescent="0.2">
      <c r="A17" s="41" t="s">
        <v>172</v>
      </c>
      <c r="B17" s="4" t="s">
        <v>169</v>
      </c>
      <c r="C17" s="4" t="s">
        <v>115</v>
      </c>
      <c r="D17" s="23" t="s">
        <v>170</v>
      </c>
      <c r="E17" s="11">
        <f t="shared" ref="E17:E24" si="1">F17+I17</f>
        <v>52730700</v>
      </c>
      <c r="F17" s="11">
        <f>52700700+30000</f>
        <v>52730700</v>
      </c>
      <c r="G17" s="11">
        <f>42050000-3070100</f>
        <v>38979900</v>
      </c>
      <c r="H17" s="11">
        <f>1181000-78500</f>
        <v>1102500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1" si="2">E17+J17</f>
        <v>53839700</v>
      </c>
    </row>
    <row r="18" spans="1:17" ht="25.5" hidden="1" x14ac:dyDescent="0.2">
      <c r="A18" s="41" t="s">
        <v>532</v>
      </c>
      <c r="B18" s="4" t="s">
        <v>533</v>
      </c>
      <c r="C18" s="4"/>
      <c r="D18" s="5" t="s">
        <v>536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534</v>
      </c>
      <c r="B19" s="3" t="s">
        <v>535</v>
      </c>
      <c r="C19" s="3" t="s">
        <v>187</v>
      </c>
      <c r="D19" s="69" t="s">
        <v>537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424</v>
      </c>
      <c r="B20" s="4" t="s">
        <v>400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425</v>
      </c>
      <c r="B21" s="3" t="s">
        <v>402</v>
      </c>
      <c r="C21" s="3" t="s">
        <v>117</v>
      </c>
      <c r="D21" s="70" t="s">
        <v>421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174</v>
      </c>
      <c r="B25" s="20" t="s">
        <v>173</v>
      </c>
      <c r="C25" s="20" t="s">
        <v>4</v>
      </c>
      <c r="D25" s="5" t="s">
        <v>75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472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177</v>
      </c>
      <c r="B27" s="4" t="s">
        <v>176</v>
      </c>
      <c r="C27" s="4" t="s">
        <v>122</v>
      </c>
      <c r="D27" s="47" t="s">
        <v>77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478</v>
      </c>
      <c r="B28" s="4" t="s">
        <v>175</v>
      </c>
      <c r="C28" s="8" t="s">
        <v>121</v>
      </c>
      <c r="D28" s="21" t="s">
        <v>479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375</v>
      </c>
      <c r="B29" s="4" t="s">
        <v>374</v>
      </c>
      <c r="C29" s="4" t="s">
        <v>121</v>
      </c>
      <c r="D29" s="21" t="s">
        <v>376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181</v>
      </c>
      <c r="B30" s="4" t="s">
        <v>180</v>
      </c>
      <c r="C30" s="4"/>
      <c r="D30" s="21" t="s">
        <v>182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385</v>
      </c>
      <c r="B31" s="4" t="s">
        <v>384</v>
      </c>
      <c r="C31" s="4" t="s">
        <v>121</v>
      </c>
      <c r="D31" s="21" t="s">
        <v>417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183</v>
      </c>
      <c r="B32" s="4" t="s">
        <v>184</v>
      </c>
      <c r="C32" s="4" t="s">
        <v>121</v>
      </c>
      <c r="D32" s="21" t="s">
        <v>185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80</v>
      </c>
      <c r="B33" s="20" t="s">
        <v>27</v>
      </c>
      <c r="C33" s="20" t="s">
        <v>128</v>
      </c>
      <c r="D33" s="14" t="s">
        <v>129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179</v>
      </c>
      <c r="B34" s="4" t="s">
        <v>178</v>
      </c>
      <c r="C34" s="4" t="s">
        <v>124</v>
      </c>
      <c r="D34" s="14" t="s">
        <v>386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76</v>
      </c>
      <c r="B35" s="4" t="s">
        <v>62</v>
      </c>
      <c r="C35" s="4" t="s">
        <v>125</v>
      </c>
      <c r="D35" s="14" t="s">
        <v>126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457</v>
      </c>
      <c r="B36" s="4" t="s">
        <v>458</v>
      </c>
      <c r="C36" s="4"/>
      <c r="D36" s="14" t="s">
        <v>461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459</v>
      </c>
      <c r="B37" s="4" t="s">
        <v>460</v>
      </c>
      <c r="C37" s="4" t="s">
        <v>123</v>
      </c>
      <c r="D37" s="14" t="s">
        <v>127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462</v>
      </c>
      <c r="B39" s="4" t="s">
        <v>463</v>
      </c>
      <c r="C39" s="4" t="s">
        <v>351</v>
      </c>
      <c r="D39" s="72" t="s">
        <v>464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127</v>
      </c>
      <c r="E40" s="11">
        <f>F40+I40</f>
        <v>0</v>
      </c>
      <c r="F40" s="10"/>
      <c r="G40" s="10"/>
      <c r="H40" s="10"/>
      <c r="I40" s="10"/>
      <c r="J40" s="11">
        <f t="shared" si="3"/>
        <v>500000</v>
      </c>
      <c r="K40" s="10"/>
      <c r="L40" s="10"/>
      <c r="M40" s="10"/>
      <c r="N40" s="10"/>
      <c r="O40" s="11">
        <f>O30</f>
        <v>500000</v>
      </c>
      <c r="P40" s="13">
        <f t="shared" si="2"/>
        <v>500000</v>
      </c>
    </row>
    <row r="41" spans="1:18" x14ac:dyDescent="0.2">
      <c r="A41" s="41" t="s">
        <v>606</v>
      </c>
      <c r="B41" s="4" t="s">
        <v>605</v>
      </c>
      <c r="C41" s="4" t="s">
        <v>119</v>
      </c>
      <c r="D41" s="75" t="s">
        <v>607</v>
      </c>
      <c r="E41" s="11">
        <f>F41+I41</f>
        <v>3722300</v>
      </c>
      <c r="F41" s="11">
        <v>3722300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3722300</v>
      </c>
    </row>
    <row r="42" spans="1:18" x14ac:dyDescent="0.2">
      <c r="A42" s="62" t="s">
        <v>165</v>
      </c>
      <c r="B42" s="6"/>
      <c r="C42" s="7"/>
      <c r="D42" s="31" t="s">
        <v>130</v>
      </c>
      <c r="E42" s="25">
        <f>E51</f>
        <v>547868634</v>
      </c>
      <c r="F42" s="25">
        <f t="shared" ref="F42:P42" si="6">F51</f>
        <v>547868634</v>
      </c>
      <c r="G42" s="25">
        <f t="shared" si="6"/>
        <v>391635330</v>
      </c>
      <c r="H42" s="25">
        <f t="shared" si="6"/>
        <v>45052067</v>
      </c>
      <c r="I42" s="25"/>
      <c r="J42" s="25">
        <f t="shared" si="6"/>
        <v>41171170</v>
      </c>
      <c r="K42" s="25">
        <f>K51</f>
        <v>19407940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19499340</v>
      </c>
      <c r="P42" s="25">
        <f t="shared" si="6"/>
        <v>589039804</v>
      </c>
      <c r="Q42" s="39"/>
      <c r="R42" s="34"/>
    </row>
    <row r="43" spans="1:18" s="1" customFormat="1" x14ac:dyDescent="0.2">
      <c r="A43" s="36"/>
      <c r="B43" s="18"/>
      <c r="C43" s="3"/>
      <c r="D43" s="35" t="s">
        <v>81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455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634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468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553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582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489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hidden="1" x14ac:dyDescent="0.2">
      <c r="A50" s="36"/>
      <c r="B50" s="18"/>
      <c r="C50" s="3"/>
      <c r="D50" s="35" t="s">
        <v>500</v>
      </c>
      <c r="E50" s="10"/>
      <c r="F50" s="10"/>
      <c r="G50" s="10">
        <f t="shared" ref="G50:N50" si="8">G58</f>
        <v>0</v>
      </c>
      <c r="H50" s="10">
        <f t="shared" si="8"/>
        <v>5453446</v>
      </c>
      <c r="I50" s="10">
        <f t="shared" si="8"/>
        <v>0</v>
      </c>
      <c r="J50" s="10">
        <f>K50</f>
        <v>0</v>
      </c>
      <c r="K50" s="10">
        <f>K63+K55</f>
        <v>0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>K50</f>
        <v>0</v>
      </c>
      <c r="P50" s="13">
        <f t="shared" si="7"/>
        <v>0</v>
      </c>
    </row>
    <row r="51" spans="1:18" x14ac:dyDescent="0.2">
      <c r="A51" s="41" t="s">
        <v>186</v>
      </c>
      <c r="B51" s="8"/>
      <c r="C51" s="7"/>
      <c r="D51" s="14" t="s">
        <v>130</v>
      </c>
      <c r="E51" s="25">
        <f>E52+E53+E57+E59+E68+E69+E74+E76+E80+E83+E85+E86+E89+E73</f>
        <v>547868634</v>
      </c>
      <c r="F51" s="25">
        <f>F52+F53+F57+F59+F68+F69+F74+F76+F80+F83+F85+F86+F89+F73</f>
        <v>547868634</v>
      </c>
      <c r="G51" s="25">
        <f t="shared" ref="G51:N51" si="9">G52+G53+G57+G59+G68+G69+G74+G76+G80+G83+G85+G86+G89</f>
        <v>391635330</v>
      </c>
      <c r="H51" s="25">
        <f t="shared" si="9"/>
        <v>45052067</v>
      </c>
      <c r="I51" s="25">
        <f t="shared" si="9"/>
        <v>0</v>
      </c>
      <c r="J51" s="25">
        <f>J52+J53+J57+J59+J68+J69+J74+J76+J80+J83+J85+J86+J89+J73</f>
        <v>41171170</v>
      </c>
      <c r="K51" s="25">
        <f>K52+K53+K57+K59+K68+K69+K74+K76+K80+K83+K85+K86+K89+K73</f>
        <v>19407940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>O52+O53+O57+O59+O68+O69+O74+O76+O80+O83+O85+O86+O89+O73</f>
        <v>19499340</v>
      </c>
      <c r="P51" s="25">
        <f>P52+P53+P57+P59+P68+P69+P74+P76+P80+P83+P85+P86+P89+P73</f>
        <v>589039804</v>
      </c>
    </row>
    <row r="52" spans="1:18" ht="25.5" x14ac:dyDescent="0.2">
      <c r="A52" s="41" t="s">
        <v>188</v>
      </c>
      <c r="B52" s="4" t="s">
        <v>187</v>
      </c>
      <c r="C52" s="4" t="s">
        <v>115</v>
      </c>
      <c r="D52" s="14" t="s">
        <v>604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6" si="11">E52+J52</f>
        <v>2371500</v>
      </c>
    </row>
    <row r="53" spans="1:18" x14ac:dyDescent="0.2">
      <c r="A53" s="41" t="s">
        <v>190</v>
      </c>
      <c r="B53" s="20" t="s">
        <v>58</v>
      </c>
      <c r="C53" s="20" t="s">
        <v>131</v>
      </c>
      <c r="D53" s="5" t="s">
        <v>189</v>
      </c>
      <c r="E53" s="11">
        <f>F53</f>
        <v>181703400</v>
      </c>
      <c r="F53" s="12">
        <f>184073400-2470000+50000+50000</f>
        <v>181703400</v>
      </c>
      <c r="G53" s="12">
        <v>122869300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203041700</v>
      </c>
      <c r="Q53" s="104"/>
      <c r="R53" s="105"/>
    </row>
    <row r="54" spans="1:18" ht="38.25" hidden="1" x14ac:dyDescent="0.2">
      <c r="A54" s="41"/>
      <c r="B54" s="20"/>
      <c r="C54" s="20"/>
      <c r="D54" s="35" t="s">
        <v>489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582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620</v>
      </c>
      <c r="B57" s="98" t="s">
        <v>610</v>
      </c>
      <c r="C57" s="20" t="s">
        <v>132</v>
      </c>
      <c r="D57" s="21" t="s">
        <v>622</v>
      </c>
      <c r="E57" s="11">
        <f>F57</f>
        <v>73544067</v>
      </c>
      <c r="F57" s="12">
        <f>74986757-1293000-149690</f>
        <v>73544067</v>
      </c>
      <c r="G57" s="12">
        <f>32986100+446700</f>
        <v>33432800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80701079</v>
      </c>
    </row>
    <row r="58" spans="1:18" ht="38.25" x14ac:dyDescent="0.2">
      <c r="A58" s="41"/>
      <c r="B58" s="98"/>
      <c r="C58" s="20"/>
      <c r="D58" s="35" t="s">
        <v>634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621</v>
      </c>
      <c r="B59" s="98" t="s">
        <v>611</v>
      </c>
      <c r="C59" s="20" t="s">
        <v>132</v>
      </c>
      <c r="D59" s="21" t="s">
        <v>622</v>
      </c>
      <c r="E59" s="11">
        <f t="shared" ref="E59:E90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157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117</v>
      </c>
      <c r="C61" s="20" t="s">
        <v>132</v>
      </c>
      <c r="D61" s="5" t="s">
        <v>82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559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554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455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468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81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623</v>
      </c>
      <c r="B68" s="98" t="s">
        <v>612</v>
      </c>
      <c r="C68" s="20" t="s">
        <v>103</v>
      </c>
      <c r="D68" s="23" t="s">
        <v>571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624</v>
      </c>
      <c r="B69" s="98" t="s">
        <v>613</v>
      </c>
      <c r="C69" s="20" t="s">
        <v>103</v>
      </c>
      <c r="D69" s="23" t="s">
        <v>571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455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489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81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650</v>
      </c>
      <c r="B73" s="22" t="s">
        <v>651</v>
      </c>
      <c r="C73" s="22" t="s">
        <v>132</v>
      </c>
      <c r="D73" s="103" t="s">
        <v>619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625</v>
      </c>
      <c r="B74" s="98" t="s">
        <v>23</v>
      </c>
      <c r="C74" s="20" t="s">
        <v>133</v>
      </c>
      <c r="D74" s="21" t="s">
        <v>572</v>
      </c>
      <c r="E74" s="11">
        <f t="shared" si="13"/>
        <v>22843900</v>
      </c>
      <c r="F74" s="12">
        <f>22743900+100000</f>
        <v>22843900</v>
      </c>
      <c r="G74" s="12">
        <v>17026170</v>
      </c>
      <c r="H74" s="12">
        <f>1217000+100000</f>
        <v>1317000</v>
      </c>
      <c r="I74" s="12"/>
      <c r="J74" s="11">
        <f>L74+O74</f>
        <v>2883250</v>
      </c>
      <c r="K74" s="12">
        <f>1500000+193000</f>
        <v>1693000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1745600</v>
      </c>
      <c r="P74" s="13">
        <f>E74+J74</f>
        <v>25727150</v>
      </c>
    </row>
    <row r="75" spans="1:16" s="1" customFormat="1" hidden="1" x14ac:dyDescent="0.2">
      <c r="A75" s="36"/>
      <c r="B75" s="97"/>
      <c r="C75" s="22"/>
      <c r="D75" s="19" t="s">
        <v>472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193</v>
      </c>
      <c r="B76" s="98" t="s">
        <v>192</v>
      </c>
      <c r="C76" s="20" t="s">
        <v>134</v>
      </c>
      <c r="D76" s="5" t="s">
        <v>626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28</v>
      </c>
      <c r="C77" s="20" t="s">
        <v>134</v>
      </c>
      <c r="D77" s="21" t="s">
        <v>83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29</v>
      </c>
      <c r="C78" s="20" t="s">
        <v>134</v>
      </c>
      <c r="D78" s="21" t="s">
        <v>84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193</v>
      </c>
      <c r="B79" s="96" t="s">
        <v>192</v>
      </c>
      <c r="C79" s="20"/>
      <c r="D79" s="42" t="s">
        <v>191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627</v>
      </c>
      <c r="B80" s="98" t="s">
        <v>614</v>
      </c>
      <c r="C80" s="20" t="s">
        <v>134</v>
      </c>
      <c r="D80" s="42" t="s">
        <v>387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538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489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628</v>
      </c>
      <c r="B83" s="98" t="s">
        <v>615</v>
      </c>
      <c r="C83" s="20" t="s">
        <v>134</v>
      </c>
      <c r="D83" s="42" t="s">
        <v>388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630</v>
      </c>
      <c r="B85" s="98" t="s">
        <v>616</v>
      </c>
      <c r="C85" s="20" t="s">
        <v>134</v>
      </c>
      <c r="D85" s="14" t="s">
        <v>629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631</v>
      </c>
      <c r="B86" s="100" t="s">
        <v>617</v>
      </c>
      <c r="C86" s="22" t="s">
        <v>134</v>
      </c>
      <c r="D86" s="14" t="s">
        <v>632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553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472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635</v>
      </c>
      <c r="B89" s="20" t="s">
        <v>29</v>
      </c>
      <c r="C89" s="4" t="s">
        <v>134</v>
      </c>
      <c r="D89" s="82" t="s">
        <v>636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489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x14ac:dyDescent="0.2">
      <c r="A91" s="62" t="s">
        <v>166</v>
      </c>
      <c r="B91" s="6"/>
      <c r="C91" s="7"/>
      <c r="D91" s="31" t="s">
        <v>88</v>
      </c>
      <c r="E91" s="25">
        <f>E100</f>
        <v>46528016</v>
      </c>
      <c r="F91" s="25">
        <f t="shared" ref="F91:O91" si="14">F100</f>
        <v>46528016</v>
      </c>
      <c r="G91" s="25">
        <f t="shared" si="14"/>
        <v>2019700</v>
      </c>
      <c r="H91" s="25">
        <f t="shared" si="14"/>
        <v>34000</v>
      </c>
      <c r="I91" s="25">
        <f t="shared" si="14"/>
        <v>0</v>
      </c>
      <c r="J91" s="25">
        <f t="shared" si="14"/>
        <v>2765517</v>
      </c>
      <c r="K91" s="25">
        <f>K100</f>
        <v>2656860</v>
      </c>
      <c r="L91" s="25">
        <f t="shared" si="14"/>
        <v>108657</v>
      </c>
      <c r="M91" s="25">
        <f t="shared" si="14"/>
        <v>0</v>
      </c>
      <c r="N91" s="25">
        <f t="shared" si="14"/>
        <v>0</v>
      </c>
      <c r="O91" s="25">
        <f t="shared" si="14"/>
        <v>2656860</v>
      </c>
      <c r="P91" s="13">
        <f t="shared" si="11"/>
        <v>49293533</v>
      </c>
      <c r="Q91" s="39"/>
      <c r="R91" s="34"/>
    </row>
    <row r="92" spans="1:18" s="1" customFormat="1" hidden="1" x14ac:dyDescent="0.2">
      <c r="A92" s="36"/>
      <c r="B92" s="18"/>
      <c r="C92" s="3"/>
      <c r="D92" s="35" t="s">
        <v>90</v>
      </c>
      <c r="E92" s="10">
        <f>F92+I92</f>
        <v>0</v>
      </c>
      <c r="F92" s="17">
        <f>F103+F109+F122+F115</f>
        <v>0</v>
      </c>
      <c r="G92" s="17">
        <f>SUM(G103+G106+G109+G111+G125+G120+G138+G129+G133)</f>
        <v>0</v>
      </c>
      <c r="H92" s="17">
        <f>SUM(H103+H106+H109+H111+H125+H120+H138+H129+H133)</f>
        <v>0</v>
      </c>
      <c r="I92" s="17">
        <f>SUM(I103+I106+I109+I111+I125+I120+I138+I129+I133)</f>
        <v>0</v>
      </c>
      <c r="J92" s="17">
        <f>SUM(J103+J109+J111+J125+J120+J138)</f>
        <v>0</v>
      </c>
      <c r="K92" s="17">
        <f>SUM(K103+K109+K111+K125+K120+K138)</f>
        <v>0</v>
      </c>
      <c r="L92" s="17">
        <f>SUM(L103+L106+L109+L111+L125+L120+L138)</f>
        <v>0</v>
      </c>
      <c r="M92" s="17">
        <f>SUM(M103+M106+M109+M111+M125+M120+M138)</f>
        <v>0</v>
      </c>
      <c r="N92" s="17">
        <f>SUM(N103+N106+N109+N111+N125+N120+N138)</f>
        <v>0</v>
      </c>
      <c r="O92" s="17">
        <f>SUM(O103+O109+O111+O125+O120+O138)</f>
        <v>0</v>
      </c>
      <c r="P92" s="16">
        <f t="shared" si="11"/>
        <v>0</v>
      </c>
    </row>
    <row r="93" spans="1:18" s="1" customFormat="1" ht="25.5" hidden="1" x14ac:dyDescent="0.2">
      <c r="A93" s="36"/>
      <c r="B93" s="18"/>
      <c r="C93" s="3"/>
      <c r="D93" s="35" t="s">
        <v>456</v>
      </c>
      <c r="E93" s="10">
        <f>F93+I93</f>
        <v>0</v>
      </c>
      <c r="F93" s="17">
        <f>F116+F106</f>
        <v>0</v>
      </c>
      <c r="G93" s="17"/>
      <c r="H93" s="17"/>
      <c r="I93" s="17"/>
      <c r="J93" s="17">
        <f>L93+O93</f>
        <v>0</v>
      </c>
      <c r="K93" s="17">
        <f>K116+K106+K112+K123</f>
        <v>0</v>
      </c>
      <c r="L93" s="17"/>
      <c r="M93" s="17"/>
      <c r="N93" s="17"/>
      <c r="O93" s="17">
        <f>K93</f>
        <v>0</v>
      </c>
      <c r="P93" s="16">
        <f t="shared" si="11"/>
        <v>0</v>
      </c>
    </row>
    <row r="94" spans="1:18" s="1" customFormat="1" ht="25.5" hidden="1" x14ac:dyDescent="0.2">
      <c r="A94" s="36"/>
      <c r="B94" s="18"/>
      <c r="C94" s="3"/>
      <c r="D94" s="35" t="s">
        <v>469</v>
      </c>
      <c r="E94" s="10">
        <f>F94+I94</f>
        <v>0</v>
      </c>
      <c r="F94" s="17"/>
      <c r="G94" s="17"/>
      <c r="H94" s="17"/>
      <c r="I94" s="17"/>
      <c r="J94" s="17">
        <f>L94+O94</f>
        <v>0</v>
      </c>
      <c r="K94" s="17">
        <f>K143</f>
        <v>0</v>
      </c>
      <c r="L94" s="17"/>
      <c r="M94" s="17"/>
      <c r="N94" s="17"/>
      <c r="O94" s="17">
        <f>O143</f>
        <v>0</v>
      </c>
      <c r="P94" s="16">
        <f t="shared" si="11"/>
        <v>0</v>
      </c>
    </row>
    <row r="95" spans="1:18" s="1" customFormat="1" hidden="1" x14ac:dyDescent="0.2">
      <c r="A95" s="36"/>
      <c r="B95" s="18"/>
      <c r="C95" s="3"/>
      <c r="D95" s="35" t="s">
        <v>472</v>
      </c>
      <c r="E95" s="10">
        <f>E139+E105</f>
        <v>0</v>
      </c>
      <c r="F95" s="10">
        <f>F139+F105</f>
        <v>0</v>
      </c>
      <c r="G95" s="10">
        <f>G139</f>
        <v>0</v>
      </c>
      <c r="H95" s="10">
        <f>H139</f>
        <v>0</v>
      </c>
      <c r="I95" s="10">
        <f>I139</f>
        <v>0</v>
      </c>
      <c r="J95" s="10">
        <f>K95+L95</f>
        <v>0</v>
      </c>
      <c r="K95" s="17">
        <f>K105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32.25" hidden="1" customHeight="1" x14ac:dyDescent="0.2">
      <c r="A96" s="36"/>
      <c r="B96" s="18"/>
      <c r="C96" s="3"/>
      <c r="D96" s="19" t="s">
        <v>580</v>
      </c>
      <c r="E96" s="10">
        <f>F96</f>
        <v>0</v>
      </c>
      <c r="F96" s="10">
        <f>F129+F106</f>
        <v>0</v>
      </c>
      <c r="G96" s="10"/>
      <c r="H96" s="10"/>
      <c r="I96" s="10"/>
      <c r="J96" s="10"/>
      <c r="K96" s="17"/>
      <c r="L96" s="17"/>
      <c r="M96" s="17"/>
      <c r="N96" s="17"/>
      <c r="O96" s="17"/>
      <c r="P96" s="16">
        <f t="shared" si="11"/>
        <v>0</v>
      </c>
    </row>
    <row r="97" spans="1:16" s="1" customFormat="1" ht="29.25" hidden="1" customHeight="1" x14ac:dyDescent="0.2">
      <c r="A97" s="36"/>
      <c r="B97" s="18"/>
      <c r="C97" s="3"/>
      <c r="D97" s="19" t="s">
        <v>574</v>
      </c>
      <c r="E97" s="10">
        <f>E130</f>
        <v>0</v>
      </c>
      <c r="F97" s="10">
        <f>F130</f>
        <v>0</v>
      </c>
      <c r="G97" s="10"/>
      <c r="H97" s="10"/>
      <c r="I97" s="10"/>
      <c r="J97" s="10">
        <f>J107</f>
        <v>0</v>
      </c>
      <c r="K97" s="10">
        <f>K107</f>
        <v>0</v>
      </c>
      <c r="L97" s="17"/>
      <c r="M97" s="17"/>
      <c r="N97" s="17"/>
      <c r="O97" s="10">
        <f>O107</f>
        <v>0</v>
      </c>
      <c r="P97" s="16">
        <f t="shared" si="11"/>
        <v>0</v>
      </c>
    </row>
    <row r="98" spans="1:16" s="1" customFormat="1" ht="38.25" x14ac:dyDescent="0.2">
      <c r="A98" s="36"/>
      <c r="B98" s="18"/>
      <c r="C98" s="3"/>
      <c r="D98" s="19" t="s">
        <v>638</v>
      </c>
      <c r="E98" s="10">
        <f>F98</f>
        <v>3948808</v>
      </c>
      <c r="F98" s="10">
        <f>F107+F113+F117+F131</f>
        <v>3948808</v>
      </c>
      <c r="G98" s="10"/>
      <c r="H98" s="10"/>
      <c r="I98" s="10"/>
      <c r="J98" s="10">
        <f>J140</f>
        <v>0</v>
      </c>
      <c r="K98" s="17"/>
      <c r="L98" s="17"/>
      <c r="M98" s="17"/>
      <c r="N98" s="17"/>
      <c r="O98" s="17"/>
      <c r="P98" s="16">
        <f t="shared" si="11"/>
        <v>3948808</v>
      </c>
    </row>
    <row r="99" spans="1:16" s="1" customFormat="1" ht="25.5" hidden="1" x14ac:dyDescent="0.2">
      <c r="A99" s="36"/>
      <c r="B99" s="18"/>
      <c r="C99" s="3"/>
      <c r="D99" s="35" t="s">
        <v>499</v>
      </c>
      <c r="E99" s="10"/>
      <c r="F99" s="17"/>
      <c r="G99" s="17"/>
      <c r="H99" s="17"/>
      <c r="I99" s="17"/>
      <c r="J99" s="17">
        <f>L99+O99</f>
        <v>0</v>
      </c>
      <c r="K99" s="17">
        <f>K147</f>
        <v>0</v>
      </c>
      <c r="L99" s="17"/>
      <c r="M99" s="17"/>
      <c r="N99" s="17"/>
      <c r="O99" s="17">
        <f>K99</f>
        <v>0</v>
      </c>
      <c r="P99" s="16">
        <f t="shared" si="11"/>
        <v>0</v>
      </c>
    </row>
    <row r="100" spans="1:16" s="1" customFormat="1" ht="16.5" customHeight="1" x14ac:dyDescent="0.2">
      <c r="A100" s="36" t="s">
        <v>194</v>
      </c>
      <c r="B100" s="18"/>
      <c r="C100" s="3"/>
      <c r="D100" s="15" t="s">
        <v>88</v>
      </c>
      <c r="E100" s="17">
        <f>E101+E102+E108+E114+E118+E126+E135+E141+E136+E137+E119+E128+E144</f>
        <v>46528016</v>
      </c>
      <c r="F100" s="17">
        <f>F101+F102+F108+F114+F118+F126+F135+F141+F136+F137+F119+F128+F144</f>
        <v>46528016</v>
      </c>
      <c r="G100" s="17">
        <f>G101+G102+G108+G114+G118+G126+G135+G141+G136+G137+G119</f>
        <v>2019700</v>
      </c>
      <c r="H100" s="17">
        <f>H101+H102+H108+H114+H118+H126+H135+H141+H136+H137+H119</f>
        <v>34000</v>
      </c>
      <c r="I100" s="17">
        <f>I101+I102+I108+I114+I118+I126+I135+I141+I136+I137+I119</f>
        <v>0</v>
      </c>
      <c r="J100" s="17">
        <f>J101+J102+J108+J114+J118+J126+J135+J141+J136+J119</f>
        <v>2765517</v>
      </c>
      <c r="K100" s="17">
        <f>K101+K102+K108+K114+K118+K126+K135+K141+K146+K119+K136</f>
        <v>2656860</v>
      </c>
      <c r="L100" s="17">
        <f>L101+L102+L108+L114+L118+L126+L135+L141+L136+L119</f>
        <v>108657</v>
      </c>
      <c r="M100" s="17">
        <f>M101+M102+M108+M114+M118+M126+M135+M141</f>
        <v>0</v>
      </c>
      <c r="N100" s="17">
        <f>N101+N102+N108+N114+N118+N126+N135+N141</f>
        <v>0</v>
      </c>
      <c r="O100" s="17">
        <f>O101+O102+O108+O128+O119+O136+O146</f>
        <v>2656860</v>
      </c>
      <c r="P100" s="17">
        <f>P101+P102+P108+P114+P118+P126+P135+P141+P128+P136+P137+P119+P144</f>
        <v>49293533</v>
      </c>
    </row>
    <row r="101" spans="1:16" ht="25.5" x14ac:dyDescent="0.2">
      <c r="A101" s="41" t="s">
        <v>195</v>
      </c>
      <c r="B101" s="4" t="s">
        <v>187</v>
      </c>
      <c r="C101" s="4" t="s">
        <v>115</v>
      </c>
      <c r="D101" s="14" t="s">
        <v>604</v>
      </c>
      <c r="E101" s="11">
        <f t="shared" ref="E101:E138" si="15">F101+I101</f>
        <v>2616700</v>
      </c>
      <c r="F101" s="12">
        <f>1116700+1500000</f>
        <v>2616700</v>
      </c>
      <c r="G101" s="12">
        <f>819700+1200000</f>
        <v>2019700</v>
      </c>
      <c r="H101" s="12">
        <v>34000</v>
      </c>
      <c r="I101" s="12"/>
      <c r="J101" s="11">
        <f t="shared" ref="J101:J147" si="16">L101+O101</f>
        <v>45000</v>
      </c>
      <c r="K101" s="12">
        <v>45000</v>
      </c>
      <c r="L101" s="12"/>
      <c r="M101" s="12"/>
      <c r="N101" s="12"/>
      <c r="O101" s="12">
        <f>K101</f>
        <v>45000</v>
      </c>
      <c r="P101" s="13">
        <f t="shared" si="11"/>
        <v>2661700</v>
      </c>
    </row>
    <row r="102" spans="1:16" x14ac:dyDescent="0.2">
      <c r="A102" s="41" t="s">
        <v>196</v>
      </c>
      <c r="B102" s="4" t="s">
        <v>32</v>
      </c>
      <c r="C102" s="4" t="s">
        <v>2</v>
      </c>
      <c r="D102" s="5" t="s">
        <v>89</v>
      </c>
      <c r="E102" s="11">
        <f t="shared" si="15"/>
        <v>17706918</v>
      </c>
      <c r="F102" s="12">
        <f>14164200+10120000-1000000-2800000-600000-3000000+50000-545400+418118+900000</f>
        <v>17706918</v>
      </c>
      <c r="G102" s="12"/>
      <c r="H102" s="12"/>
      <c r="I102" s="12"/>
      <c r="J102" s="11">
        <f t="shared" si="16"/>
        <v>1400000</v>
      </c>
      <c r="K102" s="12">
        <f>1000000+400000</f>
        <v>1400000</v>
      </c>
      <c r="L102" s="12"/>
      <c r="M102" s="12"/>
      <c r="N102" s="12"/>
      <c r="O102" s="12">
        <f>K102</f>
        <v>1400000</v>
      </c>
      <c r="P102" s="13">
        <f t="shared" si="11"/>
        <v>19106918</v>
      </c>
    </row>
    <row r="103" spans="1:16" ht="12.75" hidden="1" customHeight="1" x14ac:dyDescent="0.2">
      <c r="A103" s="41"/>
      <c r="B103" s="4"/>
      <c r="C103" s="4"/>
      <c r="D103" s="35" t="s">
        <v>90</v>
      </c>
      <c r="E103" s="10">
        <f t="shared" si="15"/>
        <v>0</v>
      </c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ref="O103:O128" si="17">K103</f>
        <v>0</v>
      </c>
      <c r="P103" s="13">
        <f t="shared" si="11"/>
        <v>0</v>
      </c>
    </row>
    <row r="104" spans="1:16" ht="12.75" hidden="1" customHeight="1" x14ac:dyDescent="0.2">
      <c r="A104" s="41"/>
      <c r="B104" s="4"/>
      <c r="C104" s="4"/>
      <c r="D104" s="5"/>
      <c r="E104" s="10">
        <f t="shared" si="15"/>
        <v>0</v>
      </c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1"/>
        <v>0</v>
      </c>
    </row>
    <row r="105" spans="1:16" ht="12.75" hidden="1" customHeight="1" x14ac:dyDescent="0.2">
      <c r="A105" s="41"/>
      <c r="B105" s="4"/>
      <c r="C105" s="4"/>
      <c r="D105" s="35" t="s">
        <v>472</v>
      </c>
      <c r="E105" s="10"/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>K105</f>
        <v>0</v>
      </c>
      <c r="P105" s="16">
        <f t="shared" si="11"/>
        <v>0</v>
      </c>
    </row>
    <row r="106" spans="1:16" ht="25.5" hidden="1" x14ac:dyDescent="0.2">
      <c r="A106" s="41"/>
      <c r="B106" s="4"/>
      <c r="C106" s="4"/>
      <c r="D106" s="35" t="s">
        <v>580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25.5" hidden="1" customHeight="1" x14ac:dyDescent="0.2">
      <c r="A107" s="41"/>
      <c r="B107" s="4"/>
      <c r="C107" s="4"/>
      <c r="D107" s="19" t="s">
        <v>470</v>
      </c>
      <c r="E107" s="10">
        <f t="shared" si="15"/>
        <v>0</v>
      </c>
      <c r="F107" s="17"/>
      <c r="G107" s="12"/>
      <c r="H107" s="12"/>
      <c r="I107" s="12"/>
      <c r="J107" s="10">
        <f t="shared" si="16"/>
        <v>0</v>
      </c>
      <c r="K107" s="17"/>
      <c r="L107" s="12"/>
      <c r="M107" s="12"/>
      <c r="N107" s="12"/>
      <c r="O107" s="17">
        <f t="shared" si="17"/>
        <v>0</v>
      </c>
      <c r="P107" s="13">
        <f t="shared" si="11"/>
        <v>0</v>
      </c>
    </row>
    <row r="108" spans="1:16" x14ac:dyDescent="0.2">
      <c r="A108" s="41" t="s">
        <v>198</v>
      </c>
      <c r="B108" s="4" t="s">
        <v>197</v>
      </c>
      <c r="C108" s="4" t="s">
        <v>3</v>
      </c>
      <c r="D108" s="76" t="s">
        <v>91</v>
      </c>
      <c r="E108" s="11">
        <f t="shared" si="15"/>
        <v>5434800</v>
      </c>
      <c r="F108" s="12">
        <f>5384900+49900</f>
        <v>5434800</v>
      </c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5434800</v>
      </c>
    </row>
    <row r="109" spans="1:16" hidden="1" x14ac:dyDescent="0.2">
      <c r="A109" s="41"/>
      <c r="B109" s="4"/>
      <c r="C109" s="4"/>
      <c r="D109" s="35" t="s">
        <v>90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 t="s">
        <v>201</v>
      </c>
      <c r="B110" s="4" t="s">
        <v>200</v>
      </c>
      <c r="C110" s="4" t="s">
        <v>5</v>
      </c>
      <c r="D110" s="5" t="s">
        <v>199</v>
      </c>
      <c r="E110" s="11">
        <f t="shared" si="15"/>
        <v>0</v>
      </c>
      <c r="F110" s="12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idden="1" x14ac:dyDescent="0.2">
      <c r="A111" s="41"/>
      <c r="B111" s="4"/>
      <c r="C111" s="4"/>
      <c r="D111" s="35" t="s">
        <v>90</v>
      </c>
      <c r="E111" s="11">
        <f t="shared" si="15"/>
        <v>0</v>
      </c>
      <c r="F111" s="12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35" t="s">
        <v>456</v>
      </c>
      <c r="E112" s="11"/>
      <c r="F112" s="12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ht="25.5" hidden="1" x14ac:dyDescent="0.2">
      <c r="A113" s="41"/>
      <c r="B113" s="4"/>
      <c r="C113" s="4"/>
      <c r="D113" s="19" t="s">
        <v>470</v>
      </c>
      <c r="E113" s="10">
        <f>F113</f>
        <v>0</v>
      </c>
      <c r="F113" s="17"/>
      <c r="G113" s="12"/>
      <c r="H113" s="12"/>
      <c r="I113" s="12"/>
      <c r="J113" s="10"/>
      <c r="K113" s="17"/>
      <c r="L113" s="12"/>
      <c r="M113" s="12"/>
      <c r="N113" s="12"/>
      <c r="O113" s="17"/>
      <c r="P113" s="13">
        <f t="shared" si="11"/>
        <v>0</v>
      </c>
    </row>
    <row r="114" spans="1:16" ht="15.75" hidden="1" x14ac:dyDescent="0.25">
      <c r="A114" s="41" t="s">
        <v>539</v>
      </c>
      <c r="B114" s="4" t="s">
        <v>540</v>
      </c>
      <c r="C114" s="4" t="s">
        <v>5</v>
      </c>
      <c r="D114" s="46" t="s">
        <v>541</v>
      </c>
      <c r="E114" s="11">
        <f>F114+I114</f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>K114</f>
        <v>0</v>
      </c>
      <c r="P114" s="13">
        <f t="shared" si="11"/>
        <v>0</v>
      </c>
    </row>
    <row r="115" spans="1:16" s="1" customFormat="1" hidden="1" x14ac:dyDescent="0.2">
      <c r="A115" s="36"/>
      <c r="B115" s="3"/>
      <c r="C115" s="3"/>
      <c r="D115" s="35" t="s">
        <v>90</v>
      </c>
      <c r="E115" s="10">
        <f>F115</f>
        <v>0</v>
      </c>
      <c r="F115" s="17"/>
      <c r="G115" s="17"/>
      <c r="H115" s="17"/>
      <c r="I115" s="17"/>
      <c r="J115" s="10">
        <f t="shared" si="16"/>
        <v>0</v>
      </c>
      <c r="K115" s="17"/>
      <c r="L115" s="17"/>
      <c r="M115" s="17"/>
      <c r="N115" s="17"/>
      <c r="O115" s="17">
        <f>K115</f>
        <v>0</v>
      </c>
      <c r="P115" s="13">
        <f>E115</f>
        <v>0</v>
      </c>
    </row>
    <row r="116" spans="1:16" s="1" customFormat="1" ht="25.5" hidden="1" x14ac:dyDescent="0.2">
      <c r="A116" s="36"/>
      <c r="B116" s="3"/>
      <c r="C116" s="3"/>
      <c r="D116" s="35" t="s">
        <v>456</v>
      </c>
      <c r="E116" s="10">
        <f>F116</f>
        <v>0</v>
      </c>
      <c r="F116" s="17"/>
      <c r="G116" s="17"/>
      <c r="H116" s="17"/>
      <c r="I116" s="17"/>
      <c r="J116" s="10">
        <f t="shared" si="16"/>
        <v>0</v>
      </c>
      <c r="K116" s="17"/>
      <c r="L116" s="17"/>
      <c r="M116" s="17"/>
      <c r="N116" s="17"/>
      <c r="O116" s="17">
        <f>K116</f>
        <v>0</v>
      </c>
      <c r="P116" s="13">
        <f t="shared" si="11"/>
        <v>0</v>
      </c>
    </row>
    <row r="117" spans="1:16" s="1" customFormat="1" ht="25.5" hidden="1" x14ac:dyDescent="0.2">
      <c r="A117" s="36"/>
      <c r="B117" s="3"/>
      <c r="C117" s="3"/>
      <c r="D117" s="19" t="s">
        <v>470</v>
      </c>
      <c r="E117" s="10">
        <f>F117</f>
        <v>0</v>
      </c>
      <c r="F117" s="17"/>
      <c r="G117" s="17"/>
      <c r="H117" s="17"/>
      <c r="I117" s="17"/>
      <c r="J117" s="10"/>
      <c r="K117" s="17"/>
      <c r="L117" s="17"/>
      <c r="M117" s="17"/>
      <c r="N117" s="17"/>
      <c r="O117" s="17"/>
      <c r="P117" s="13">
        <f>E117</f>
        <v>0</v>
      </c>
    </row>
    <row r="118" spans="1:16" hidden="1" x14ac:dyDescent="0.2">
      <c r="A118" s="41" t="s">
        <v>206</v>
      </c>
      <c r="B118" s="4" t="s">
        <v>205</v>
      </c>
      <c r="C118" s="4"/>
      <c r="D118" s="14" t="s">
        <v>418</v>
      </c>
      <c r="E118" s="11">
        <f t="shared" ref="E118:E123" si="18">F118+I118</f>
        <v>0</v>
      </c>
      <c r="F118" s="12"/>
      <c r="G118" s="12"/>
      <c r="H118" s="12"/>
      <c r="I118" s="12"/>
      <c r="J118" s="11">
        <f>L118+O118</f>
        <v>0</v>
      </c>
      <c r="K118" s="12"/>
      <c r="L118" s="12"/>
      <c r="M118" s="12"/>
      <c r="N118" s="12">
        <f>N119</f>
        <v>0</v>
      </c>
      <c r="O118" s="12">
        <f t="shared" si="17"/>
        <v>0</v>
      </c>
      <c r="P118" s="13">
        <f t="shared" ref="P118:P148" si="19">E118+J118</f>
        <v>0</v>
      </c>
    </row>
    <row r="119" spans="1:16" ht="25.5" x14ac:dyDescent="0.2">
      <c r="A119" s="41" t="s">
        <v>209</v>
      </c>
      <c r="B119" s="4" t="s">
        <v>208</v>
      </c>
      <c r="C119" s="4" t="s">
        <v>444</v>
      </c>
      <c r="D119" s="14" t="s">
        <v>207</v>
      </c>
      <c r="E119" s="11">
        <f t="shared" si="18"/>
        <v>6669100</v>
      </c>
      <c r="F119" s="12">
        <f>6619200+49900</f>
        <v>6669100</v>
      </c>
      <c r="G119" s="12"/>
      <c r="H119" s="12"/>
      <c r="I119" s="12"/>
      <c r="J119" s="11">
        <f>L119+O119</f>
        <v>89100</v>
      </c>
      <c r="K119" s="12"/>
      <c r="L119" s="12">
        <v>89100</v>
      </c>
      <c r="M119" s="12"/>
      <c r="N119" s="12"/>
      <c r="O119" s="12">
        <f t="shared" si="17"/>
        <v>0</v>
      </c>
      <c r="P119" s="13">
        <f t="shared" si="19"/>
        <v>6758200</v>
      </c>
    </row>
    <row r="120" spans="1:16" hidden="1" x14ac:dyDescent="0.2">
      <c r="A120" s="41"/>
      <c r="B120" s="4"/>
      <c r="C120" s="4"/>
      <c r="D120" s="35" t="s">
        <v>90</v>
      </c>
      <c r="E120" s="10">
        <f t="shared" si="18"/>
        <v>0</v>
      </c>
      <c r="F120" s="12"/>
      <c r="G120" s="12"/>
      <c r="H120" s="12"/>
      <c r="I120" s="12"/>
      <c r="J120" s="10">
        <f>L120+O120</f>
        <v>0</v>
      </c>
      <c r="K120" s="12"/>
      <c r="L120" s="12"/>
      <c r="M120" s="12"/>
      <c r="N120" s="12"/>
      <c r="O120" s="12">
        <f t="shared" si="17"/>
        <v>0</v>
      </c>
      <c r="P120" s="13">
        <f t="shared" si="19"/>
        <v>0</v>
      </c>
    </row>
    <row r="121" spans="1:16" ht="25.5" hidden="1" x14ac:dyDescent="0.2">
      <c r="A121" s="41"/>
      <c r="B121" s="4"/>
      <c r="C121" s="4"/>
      <c r="D121" s="35" t="s">
        <v>156</v>
      </c>
      <c r="E121" s="10">
        <f t="shared" si="18"/>
        <v>0</v>
      </c>
      <c r="F121" s="12"/>
      <c r="G121" s="12"/>
      <c r="H121" s="12"/>
      <c r="I121" s="12"/>
      <c r="J121" s="10">
        <f>L121+O121</f>
        <v>0</v>
      </c>
      <c r="K121" s="12"/>
      <c r="L121" s="12"/>
      <c r="M121" s="12"/>
      <c r="N121" s="12"/>
      <c r="O121" s="12">
        <f t="shared" si="17"/>
        <v>0</v>
      </c>
      <c r="P121" s="13">
        <f t="shared" si="19"/>
        <v>0</v>
      </c>
    </row>
    <row r="122" spans="1:16" s="1" customFormat="1" hidden="1" x14ac:dyDescent="0.2">
      <c r="A122" s="36"/>
      <c r="B122" s="3"/>
      <c r="C122" s="3"/>
      <c r="D122" s="35" t="s">
        <v>90</v>
      </c>
      <c r="E122" s="10">
        <f t="shared" si="18"/>
        <v>0</v>
      </c>
      <c r="F122" s="17"/>
      <c r="G122" s="17"/>
      <c r="H122" s="17"/>
      <c r="I122" s="17"/>
      <c r="J122" s="10">
        <f>L122+O122</f>
        <v>0</v>
      </c>
      <c r="K122" s="17"/>
      <c r="L122" s="17"/>
      <c r="M122" s="17"/>
      <c r="N122" s="17"/>
      <c r="O122" s="12">
        <f t="shared" si="17"/>
        <v>0</v>
      </c>
      <c r="P122" s="13">
        <f t="shared" si="19"/>
        <v>0</v>
      </c>
    </row>
    <row r="123" spans="1:16" s="1" customFormat="1" ht="25.5" hidden="1" x14ac:dyDescent="0.2">
      <c r="A123" s="36"/>
      <c r="B123" s="3"/>
      <c r="C123" s="3"/>
      <c r="D123" s="35" t="s">
        <v>456</v>
      </c>
      <c r="E123" s="10">
        <f t="shared" si="18"/>
        <v>0</v>
      </c>
      <c r="F123" s="17"/>
      <c r="G123" s="17"/>
      <c r="H123" s="17"/>
      <c r="I123" s="17"/>
      <c r="J123" s="11">
        <f t="shared" si="16"/>
        <v>0</v>
      </c>
      <c r="K123" s="17"/>
      <c r="L123" s="17"/>
      <c r="M123" s="17"/>
      <c r="N123" s="17"/>
      <c r="O123" s="12">
        <f t="shared" si="17"/>
        <v>0</v>
      </c>
      <c r="P123" s="13">
        <f t="shared" si="19"/>
        <v>0</v>
      </c>
    </row>
    <row r="124" spans="1:16" hidden="1" x14ac:dyDescent="0.2">
      <c r="A124" s="41" t="s">
        <v>204</v>
      </c>
      <c r="B124" s="4" t="s">
        <v>203</v>
      </c>
      <c r="C124" s="4" t="s">
        <v>6</v>
      </c>
      <c r="D124" s="14" t="s">
        <v>202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hidden="1" x14ac:dyDescent="0.2">
      <c r="A125" s="41"/>
      <c r="B125" s="4"/>
      <c r="C125" s="4"/>
      <c r="D125" s="35" t="s">
        <v>90</v>
      </c>
      <c r="E125" s="11">
        <f t="shared" si="15"/>
        <v>0</v>
      </c>
      <c r="F125" s="12"/>
      <c r="G125" s="12"/>
      <c r="H125" s="12"/>
      <c r="I125" s="12"/>
      <c r="J125" s="11">
        <f t="shared" si="16"/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211</v>
      </c>
      <c r="B126" s="4" t="s">
        <v>33</v>
      </c>
      <c r="C126" s="4"/>
      <c r="D126" s="77" t="s">
        <v>210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>
        <f>N127+N128+N132</f>
        <v>0</v>
      </c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 t="s">
        <v>214</v>
      </c>
      <c r="B127" s="3" t="s">
        <v>213</v>
      </c>
      <c r="C127" s="3" t="s">
        <v>7</v>
      </c>
      <c r="D127" s="19" t="s">
        <v>212</v>
      </c>
      <c r="E127" s="10">
        <f t="shared" si="15"/>
        <v>0</v>
      </c>
      <c r="F127" s="10"/>
      <c r="G127" s="10"/>
      <c r="H127" s="10"/>
      <c r="I127" s="10"/>
      <c r="J127" s="11">
        <f t="shared" si="16"/>
        <v>0</v>
      </c>
      <c r="K127" s="10"/>
      <c r="L127" s="10"/>
      <c r="M127" s="10"/>
      <c r="N127" s="10"/>
      <c r="O127" s="17">
        <f t="shared" si="17"/>
        <v>0</v>
      </c>
      <c r="P127" s="13">
        <f t="shared" si="19"/>
        <v>0</v>
      </c>
    </row>
    <row r="128" spans="1:16" x14ac:dyDescent="0.2">
      <c r="A128" s="41" t="s">
        <v>217</v>
      </c>
      <c r="B128" s="4" t="s">
        <v>216</v>
      </c>
      <c r="C128" s="4" t="s">
        <v>7</v>
      </c>
      <c r="D128" s="21" t="s">
        <v>215</v>
      </c>
      <c r="E128" s="11">
        <f t="shared" si="15"/>
        <v>3948808</v>
      </c>
      <c r="F128" s="11">
        <f>4004962-56154</f>
        <v>3948808</v>
      </c>
      <c r="G128" s="11"/>
      <c r="H128" s="11"/>
      <c r="I128" s="11"/>
      <c r="J128" s="11">
        <f t="shared" si="16"/>
        <v>0</v>
      </c>
      <c r="K128" s="11"/>
      <c r="L128" s="11"/>
      <c r="M128" s="11"/>
      <c r="N128" s="11"/>
      <c r="O128" s="12">
        <f t="shared" si="17"/>
        <v>0</v>
      </c>
      <c r="P128" s="13">
        <f t="shared" si="19"/>
        <v>3948808</v>
      </c>
    </row>
    <row r="129" spans="1:16" s="1" customFormat="1" ht="25.5" hidden="1" customHeight="1" x14ac:dyDescent="0.2">
      <c r="A129" s="36"/>
      <c r="B129" s="3"/>
      <c r="C129" s="3"/>
      <c r="D129" s="19" t="s">
        <v>580</v>
      </c>
      <c r="E129" s="10">
        <f t="shared" si="15"/>
        <v>0</v>
      </c>
      <c r="F129" s="10"/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0</v>
      </c>
    </row>
    <row r="130" spans="1:16" s="1" customFormat="1" ht="38.25" hidden="1" x14ac:dyDescent="0.2">
      <c r="A130" s="36"/>
      <c r="B130" s="3"/>
      <c r="C130" s="3"/>
      <c r="D130" s="19" t="s">
        <v>574</v>
      </c>
      <c r="E130" s="10">
        <f>F130</f>
        <v>0</v>
      </c>
      <c r="F130" s="10"/>
      <c r="G130" s="10"/>
      <c r="H130" s="10"/>
      <c r="I130" s="10"/>
      <c r="J130" s="11"/>
      <c r="K130" s="10"/>
      <c r="L130" s="10"/>
      <c r="M130" s="10"/>
      <c r="N130" s="10"/>
      <c r="O130" s="17"/>
      <c r="P130" s="13">
        <f t="shared" si="19"/>
        <v>0</v>
      </c>
    </row>
    <row r="131" spans="1:16" s="1" customFormat="1" ht="38.25" x14ac:dyDescent="0.2">
      <c r="A131" s="36"/>
      <c r="B131" s="3"/>
      <c r="C131" s="3"/>
      <c r="D131" s="19" t="s">
        <v>638</v>
      </c>
      <c r="E131" s="10">
        <f>F131</f>
        <v>3948808</v>
      </c>
      <c r="F131" s="10">
        <f>F128</f>
        <v>3948808</v>
      </c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3948808</v>
      </c>
    </row>
    <row r="132" spans="1:16" s="1" customFormat="1" hidden="1" x14ac:dyDescent="0.2">
      <c r="A132" s="36" t="s">
        <v>220</v>
      </c>
      <c r="B132" s="3" t="s">
        <v>219</v>
      </c>
      <c r="C132" s="3" t="s">
        <v>7</v>
      </c>
      <c r="D132" s="19" t="s">
        <v>218</v>
      </c>
      <c r="E132" s="10">
        <f>F132+I132</f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>K132</f>
        <v>0</v>
      </c>
      <c r="P132" s="13">
        <f t="shared" si="19"/>
        <v>0</v>
      </c>
    </row>
    <row r="133" spans="1:16" s="1" customFormat="1" hidden="1" x14ac:dyDescent="0.2">
      <c r="A133" s="36"/>
      <c r="B133" s="3"/>
      <c r="C133" s="3"/>
      <c r="D133" s="19" t="s">
        <v>90</v>
      </c>
      <c r="E133" s="10">
        <f t="shared" si="15"/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hidden="1" x14ac:dyDescent="0.2">
      <c r="A134" s="36"/>
      <c r="B134" s="3"/>
      <c r="C134" s="3"/>
      <c r="D134" s="19" t="s">
        <v>471</v>
      </c>
      <c r="E134" s="10"/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hidden="1" x14ac:dyDescent="0.2">
      <c r="A135" s="41" t="s">
        <v>223</v>
      </c>
      <c r="B135" s="4" t="s">
        <v>222</v>
      </c>
      <c r="C135" s="4"/>
      <c r="D135" s="14" t="s">
        <v>221</v>
      </c>
      <c r="E135" s="11">
        <f t="shared" si="15"/>
        <v>0</v>
      </c>
      <c r="F135" s="12"/>
      <c r="G135" s="12"/>
      <c r="H135" s="12"/>
      <c r="I135" s="12"/>
      <c r="J135" s="11">
        <f t="shared" si="16"/>
        <v>0</v>
      </c>
      <c r="K135" s="12"/>
      <c r="L135" s="12"/>
      <c r="M135" s="12"/>
      <c r="N135" s="12"/>
      <c r="O135" s="12">
        <f>K135</f>
        <v>0</v>
      </c>
      <c r="P135" s="13">
        <f t="shared" si="19"/>
        <v>0</v>
      </c>
    </row>
    <row r="136" spans="1:16" x14ac:dyDescent="0.2">
      <c r="A136" s="41" t="s">
        <v>391</v>
      </c>
      <c r="B136" s="4" t="s">
        <v>389</v>
      </c>
      <c r="C136" s="4" t="s">
        <v>7</v>
      </c>
      <c r="D136" s="14" t="s">
        <v>393</v>
      </c>
      <c r="E136" s="11">
        <f t="shared" si="15"/>
        <v>2981690</v>
      </c>
      <c r="F136" s="12">
        <f>2931800+49890</f>
        <v>2981690</v>
      </c>
      <c r="G136" s="12"/>
      <c r="H136" s="12"/>
      <c r="I136" s="12"/>
      <c r="J136" s="11">
        <f t="shared" si="16"/>
        <v>69417</v>
      </c>
      <c r="K136" s="12">
        <v>49860</v>
      </c>
      <c r="L136" s="12">
        <v>19557</v>
      </c>
      <c r="M136" s="12"/>
      <c r="N136" s="12"/>
      <c r="O136" s="12">
        <f>K136</f>
        <v>49860</v>
      </c>
      <c r="P136" s="13">
        <f t="shared" si="19"/>
        <v>3051107</v>
      </c>
    </row>
    <row r="137" spans="1:16" x14ac:dyDescent="0.2">
      <c r="A137" s="41" t="s">
        <v>392</v>
      </c>
      <c r="B137" s="4" t="s">
        <v>390</v>
      </c>
      <c r="C137" s="4" t="s">
        <v>7</v>
      </c>
      <c r="D137" s="14" t="s">
        <v>394</v>
      </c>
      <c r="E137" s="11">
        <f t="shared" si="15"/>
        <v>7170000</v>
      </c>
      <c r="F137" s="12">
        <v>7170000</v>
      </c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7170000</v>
      </c>
    </row>
    <row r="138" spans="1:16" ht="12.75" hidden="1" customHeight="1" x14ac:dyDescent="0.2">
      <c r="A138" s="41"/>
      <c r="B138" s="4"/>
      <c r="C138" s="4"/>
      <c r="D138" s="35" t="s">
        <v>90</v>
      </c>
      <c r="E138" s="11">
        <f t="shared" si="15"/>
        <v>0</v>
      </c>
      <c r="F138" s="12"/>
      <c r="G138" s="12"/>
      <c r="H138" s="12"/>
      <c r="I138" s="12"/>
      <c r="J138" s="10">
        <f t="shared" si="16"/>
        <v>0</v>
      </c>
      <c r="K138" s="12"/>
      <c r="L138" s="12"/>
      <c r="M138" s="12"/>
      <c r="N138" s="12"/>
      <c r="O138" s="17">
        <f>K138</f>
        <v>0</v>
      </c>
      <c r="P138" s="16">
        <f t="shared" si="19"/>
        <v>0</v>
      </c>
    </row>
    <row r="139" spans="1:16" s="1" customFormat="1" hidden="1" x14ac:dyDescent="0.2">
      <c r="A139" s="36"/>
      <c r="B139" s="3"/>
      <c r="C139" s="3"/>
      <c r="D139" s="35" t="s">
        <v>472</v>
      </c>
      <c r="E139" s="10">
        <f>F139</f>
        <v>0</v>
      </c>
      <c r="F139" s="17"/>
      <c r="G139" s="17"/>
      <c r="H139" s="17"/>
      <c r="I139" s="17"/>
      <c r="J139" s="10">
        <f t="shared" si="16"/>
        <v>0</v>
      </c>
      <c r="K139" s="17"/>
      <c r="L139" s="17"/>
      <c r="M139" s="17"/>
      <c r="N139" s="17"/>
      <c r="O139" s="17">
        <f>K139</f>
        <v>0</v>
      </c>
      <c r="P139" s="16">
        <f t="shared" si="19"/>
        <v>0</v>
      </c>
    </row>
    <row r="140" spans="1:16" s="1" customFormat="1" ht="25.5" hidden="1" x14ac:dyDescent="0.2">
      <c r="A140" s="36"/>
      <c r="B140" s="3"/>
      <c r="C140" s="3"/>
      <c r="D140" s="35" t="s">
        <v>456</v>
      </c>
      <c r="E140" s="10">
        <f t="shared" ref="E140:E145" si="20">F140</f>
        <v>0</v>
      </c>
      <c r="F140" s="17"/>
      <c r="G140" s="17"/>
      <c r="H140" s="17"/>
      <c r="I140" s="17"/>
      <c r="J140" s="10"/>
      <c r="K140" s="17"/>
      <c r="L140" s="17"/>
      <c r="M140" s="17"/>
      <c r="N140" s="17"/>
      <c r="O140" s="17"/>
      <c r="P140" s="16">
        <f t="shared" si="19"/>
        <v>0</v>
      </c>
    </row>
    <row r="141" spans="1:16" ht="25.5" hidden="1" x14ac:dyDescent="0.2">
      <c r="A141" s="41" t="s">
        <v>493</v>
      </c>
      <c r="B141" s="4" t="s">
        <v>481</v>
      </c>
      <c r="C141" s="4"/>
      <c r="D141" s="23" t="s">
        <v>496</v>
      </c>
      <c r="E141" s="10">
        <f t="shared" si="20"/>
        <v>0</v>
      </c>
      <c r="F141" s="11"/>
      <c r="G141" s="11"/>
      <c r="H141" s="11"/>
      <c r="I141" s="11"/>
      <c r="J141" s="11">
        <f t="shared" ref="J141:O141" si="21">J142+J146</f>
        <v>1162000</v>
      </c>
      <c r="K141" s="11"/>
      <c r="L141" s="11"/>
      <c r="M141" s="11"/>
      <c r="N141" s="11">
        <f t="shared" si="21"/>
        <v>0</v>
      </c>
      <c r="O141" s="11">
        <f t="shared" si="21"/>
        <v>1162000</v>
      </c>
      <c r="P141" s="16">
        <f t="shared" si="19"/>
        <v>1162000</v>
      </c>
    </row>
    <row r="142" spans="1:16" s="1" customFormat="1" ht="25.5" hidden="1" x14ac:dyDescent="0.2">
      <c r="A142" s="36" t="s">
        <v>505</v>
      </c>
      <c r="B142" s="3" t="s">
        <v>506</v>
      </c>
      <c r="C142" s="3" t="s">
        <v>121</v>
      </c>
      <c r="D142" s="78" t="s">
        <v>507</v>
      </c>
      <c r="E142" s="10">
        <f t="shared" si="20"/>
        <v>0</v>
      </c>
      <c r="F142" s="10"/>
      <c r="G142" s="10"/>
      <c r="H142" s="10"/>
      <c r="I142" s="10"/>
      <c r="J142" s="11">
        <f t="shared" si="16"/>
        <v>0</v>
      </c>
      <c r="K142" s="11"/>
      <c r="L142" s="11"/>
      <c r="M142" s="11"/>
      <c r="N142" s="11"/>
      <c r="O142" s="12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69" t="s">
        <v>508</v>
      </c>
      <c r="E143" s="10">
        <f t="shared" si="20"/>
        <v>0</v>
      </c>
      <c r="F143" s="10"/>
      <c r="G143" s="10"/>
      <c r="H143" s="10"/>
      <c r="I143" s="10"/>
      <c r="J143" s="10">
        <f t="shared" si="16"/>
        <v>0</v>
      </c>
      <c r="K143" s="10"/>
      <c r="L143" s="10"/>
      <c r="M143" s="10"/>
      <c r="N143" s="10"/>
      <c r="O143" s="17">
        <f>K143</f>
        <v>0</v>
      </c>
      <c r="P143" s="16">
        <f t="shared" si="19"/>
        <v>0</v>
      </c>
    </row>
    <row r="144" spans="1:16" hidden="1" x14ac:dyDescent="0.2">
      <c r="A144" s="41" t="s">
        <v>581</v>
      </c>
      <c r="B144" s="4" t="s">
        <v>406</v>
      </c>
      <c r="C144" s="4" t="s">
        <v>116</v>
      </c>
      <c r="D144" s="72" t="s">
        <v>405</v>
      </c>
      <c r="E144" s="11">
        <f t="shared" si="20"/>
        <v>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2"/>
      <c r="P144" s="13">
        <f t="shared" si="19"/>
        <v>0</v>
      </c>
    </row>
    <row r="145" spans="1:18" s="1" customFormat="1" hidden="1" x14ac:dyDescent="0.2">
      <c r="A145" s="36"/>
      <c r="B145" s="3"/>
      <c r="C145" s="3"/>
      <c r="D145" s="70" t="s">
        <v>472</v>
      </c>
      <c r="E145" s="10">
        <f t="shared" si="20"/>
        <v>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7"/>
      <c r="P145" s="16">
        <f t="shared" si="19"/>
        <v>0</v>
      </c>
    </row>
    <row r="146" spans="1:18" s="1" customFormat="1" ht="25.5" x14ac:dyDescent="0.2">
      <c r="A146" s="36" t="s">
        <v>494</v>
      </c>
      <c r="B146" s="3" t="s">
        <v>495</v>
      </c>
      <c r="C146" s="3" t="s">
        <v>121</v>
      </c>
      <c r="D146" s="77" t="s">
        <v>498</v>
      </c>
      <c r="E146" s="10">
        <f>F146</f>
        <v>0</v>
      </c>
      <c r="F146" s="17"/>
      <c r="G146" s="17"/>
      <c r="H146" s="17"/>
      <c r="I146" s="17"/>
      <c r="J146" s="11">
        <f t="shared" si="16"/>
        <v>1162000</v>
      </c>
      <c r="K146" s="12">
        <v>1162000</v>
      </c>
      <c r="L146" s="12"/>
      <c r="M146" s="12"/>
      <c r="N146" s="12"/>
      <c r="O146" s="12">
        <f>K146</f>
        <v>1162000</v>
      </c>
      <c r="P146" s="16">
        <f t="shared" si="19"/>
        <v>1162000</v>
      </c>
    </row>
    <row r="147" spans="1:18" s="1" customFormat="1" ht="25.5" hidden="1" x14ac:dyDescent="0.2">
      <c r="A147" s="36"/>
      <c r="B147" s="3"/>
      <c r="C147" s="3"/>
      <c r="D147" s="35" t="s">
        <v>499</v>
      </c>
      <c r="E147" s="10">
        <f>F147</f>
        <v>0</v>
      </c>
      <c r="F147" s="17"/>
      <c r="G147" s="17"/>
      <c r="H147" s="17"/>
      <c r="I147" s="17"/>
      <c r="J147" s="10">
        <f t="shared" si="16"/>
        <v>0</v>
      </c>
      <c r="K147" s="17"/>
      <c r="L147" s="17"/>
      <c r="M147" s="17"/>
      <c r="N147" s="17"/>
      <c r="O147" s="17">
        <f>K147</f>
        <v>0</v>
      </c>
      <c r="P147" s="16">
        <f t="shared" si="19"/>
        <v>0</v>
      </c>
    </row>
    <row r="148" spans="1:18" s="1" customFormat="1" hidden="1" x14ac:dyDescent="0.2">
      <c r="A148" s="36" t="s">
        <v>579</v>
      </c>
      <c r="B148" s="3"/>
      <c r="C148" s="3"/>
      <c r="D148" s="72"/>
      <c r="E148" s="10">
        <f>F148</f>
        <v>0</v>
      </c>
      <c r="F148" s="17"/>
      <c r="G148" s="17"/>
      <c r="H148" s="17"/>
      <c r="I148" s="17"/>
      <c r="J148" s="10">
        <f>L148+O148</f>
        <v>0</v>
      </c>
      <c r="K148" s="17"/>
      <c r="L148" s="17"/>
      <c r="M148" s="17"/>
      <c r="N148" s="17"/>
      <c r="O148" s="17">
        <f>K148</f>
        <v>0</v>
      </c>
      <c r="P148" s="16">
        <f t="shared" si="19"/>
        <v>0</v>
      </c>
    </row>
    <row r="149" spans="1:18" ht="25.5" x14ac:dyDescent="0.2">
      <c r="A149" s="62" t="s">
        <v>167</v>
      </c>
      <c r="B149" s="6"/>
      <c r="C149" s="7"/>
      <c r="D149" s="31" t="s">
        <v>8</v>
      </c>
      <c r="E149" s="25">
        <f>E151</f>
        <v>51262700</v>
      </c>
      <c r="F149" s="25">
        <f t="shared" ref="F149:P149" si="22">F151</f>
        <v>51262700</v>
      </c>
      <c r="G149" s="25">
        <f t="shared" si="22"/>
        <v>29066000</v>
      </c>
      <c r="H149" s="25">
        <f t="shared" si="22"/>
        <v>505200</v>
      </c>
      <c r="I149" s="25">
        <f t="shared" si="22"/>
        <v>0</v>
      </c>
      <c r="J149" s="25">
        <f t="shared" si="22"/>
        <v>1075871</v>
      </c>
      <c r="K149" s="25">
        <f>K151</f>
        <v>420000</v>
      </c>
      <c r="L149" s="25">
        <f t="shared" si="22"/>
        <v>655871</v>
      </c>
      <c r="M149" s="25">
        <f t="shared" si="22"/>
        <v>38353</v>
      </c>
      <c r="N149" s="25">
        <f t="shared" si="22"/>
        <v>431800</v>
      </c>
      <c r="O149" s="25">
        <f t="shared" si="22"/>
        <v>420000</v>
      </c>
      <c r="P149" s="25">
        <f t="shared" si="22"/>
        <v>52338571</v>
      </c>
      <c r="R149" s="34"/>
    </row>
    <row r="150" spans="1:18" ht="12" hidden="1" customHeight="1" x14ac:dyDescent="0.2">
      <c r="A150" s="62"/>
      <c r="B150" s="6"/>
      <c r="C150" s="7"/>
      <c r="D150" s="15" t="s">
        <v>472</v>
      </c>
      <c r="E150" s="17">
        <f>E219+E233</f>
        <v>0</v>
      </c>
      <c r="F150" s="17">
        <f>F219+F233</f>
        <v>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>
        <f t="shared" ref="P150:P168" si="23">E150+J150</f>
        <v>0</v>
      </c>
    </row>
    <row r="151" spans="1:18" ht="25.5" x14ac:dyDescent="0.2">
      <c r="A151" s="41" t="s">
        <v>224</v>
      </c>
      <c r="B151" s="8"/>
      <c r="C151" s="7"/>
      <c r="D151" s="15" t="s">
        <v>8</v>
      </c>
      <c r="E151" s="13">
        <f t="shared" ref="E151:E194" si="24">F151+I151</f>
        <v>51262700</v>
      </c>
      <c r="F151" s="25">
        <f>F152+F154+F156+F161+F163+F170+F171+F172+F173+F175+F177+F179+F181+F183+F185+F187+F191+F195+F197+F199+F201+F203+F205+F208+F210+F211+F213+F214+F216+F218+F220+F223+F224+F229+F232+F235+F231</f>
        <v>51262700</v>
      </c>
      <c r="G151" s="25">
        <f>G152+G154+G156+G161+G163+G170+G171+G172+G173+G175+G177+G179+G181+G183+G185+G187+G191+G195+G197+G199+G201+G203+G205+G208+G210+G211+G213+G214+G216+G218+G220+G223+G224+G229+G232+G235</f>
        <v>29066000</v>
      </c>
      <c r="H151" s="25">
        <f>H152+H154+H156+H161+H163+H170+H171+H172+H173+H175+H177+H179+H181+H183+H185+H187+H191+H195+H197+H199+H201+H203+H205+H208+H210+H211+H213+H214+H216+H218+H220+H223+H224+H229+H232+H235</f>
        <v>505200</v>
      </c>
      <c r="I151" s="25">
        <f>I152+I154+I156+I161+I163+I170+I171+I172+I173+I175+I177+I179+I181+I183+I185+I187+I191+I195+I197+I199+I201+I203+I205+I208+I210+I211+I213+I214+I216+I218+I220+I223+I224+I229+I232+I235</f>
        <v>0</v>
      </c>
      <c r="J151" s="25">
        <f>J152+J210+J232</f>
        <v>1075871</v>
      </c>
      <c r="K151" s="25">
        <f>K152+K232</f>
        <v>420000</v>
      </c>
      <c r="L151" s="25">
        <f>L210</f>
        <v>655871</v>
      </c>
      <c r="M151" s="25">
        <f>M210</f>
        <v>38353</v>
      </c>
      <c r="N151" s="25">
        <f>N210</f>
        <v>431800</v>
      </c>
      <c r="O151" s="25">
        <f>O152+O153+O160+O169+O174+O193+O207+O212+O215+O218+O220+O222+O224+O229+O231+O234+O226+O232</f>
        <v>420000</v>
      </c>
      <c r="P151" s="13">
        <f t="shared" si="23"/>
        <v>52338571</v>
      </c>
    </row>
    <row r="152" spans="1:18" ht="25.5" x14ac:dyDescent="0.2">
      <c r="A152" s="41" t="s">
        <v>225</v>
      </c>
      <c r="B152" s="4" t="s">
        <v>187</v>
      </c>
      <c r="C152" s="4" t="s">
        <v>115</v>
      </c>
      <c r="D152" s="14" t="s">
        <v>604</v>
      </c>
      <c r="E152" s="11">
        <f t="shared" si="24"/>
        <v>27552600</v>
      </c>
      <c r="F152" s="12">
        <f>27534000+95000+23600-100000</f>
        <v>27552600</v>
      </c>
      <c r="G152" s="12">
        <v>21310000</v>
      </c>
      <c r="H152" s="12">
        <f>283000+23600</f>
        <v>306600</v>
      </c>
      <c r="I152" s="12"/>
      <c r="J152" s="11">
        <f t="shared" ref="J152:J194" si="25">L152+O152</f>
        <v>100000</v>
      </c>
      <c r="K152" s="12">
        <v>100000</v>
      </c>
      <c r="L152" s="12"/>
      <c r="M152" s="12"/>
      <c r="N152" s="12"/>
      <c r="O152" s="12">
        <f>K152</f>
        <v>100000</v>
      </c>
      <c r="P152" s="13">
        <f t="shared" si="23"/>
        <v>27652600</v>
      </c>
    </row>
    <row r="153" spans="1:18" ht="38.25" hidden="1" x14ac:dyDescent="0.2">
      <c r="A153" s="41" t="s">
        <v>226</v>
      </c>
      <c r="B153" s="8" t="s">
        <v>145</v>
      </c>
      <c r="C153" s="20"/>
      <c r="D153" s="5" t="s">
        <v>92</v>
      </c>
      <c r="E153" s="11">
        <f t="shared" si="24"/>
        <v>0</v>
      </c>
      <c r="F153" s="12"/>
      <c r="G153" s="12"/>
      <c r="H153" s="12"/>
      <c r="I153" s="12">
        <f t="shared" ref="I153:O153" si="26">I154+I156</f>
        <v>0</v>
      </c>
      <c r="J153" s="12">
        <f t="shared" si="26"/>
        <v>0</v>
      </c>
      <c r="K153" s="12"/>
      <c r="L153" s="12"/>
      <c r="M153" s="12"/>
      <c r="N153" s="12"/>
      <c r="O153" s="12">
        <f t="shared" si="26"/>
        <v>0</v>
      </c>
      <c r="P153" s="13">
        <f t="shared" si="23"/>
        <v>0</v>
      </c>
    </row>
    <row r="154" spans="1:18" s="1" customFormat="1" ht="25.5" hidden="1" x14ac:dyDescent="0.2">
      <c r="A154" s="36" t="s">
        <v>228</v>
      </c>
      <c r="B154" s="18" t="s">
        <v>34</v>
      </c>
      <c r="C154" s="79" t="s">
        <v>117</v>
      </c>
      <c r="D154" s="80" t="s">
        <v>227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8" ht="66.75" hidden="1" customHeight="1" x14ac:dyDescent="0.2">
      <c r="A155" s="41"/>
      <c r="B155" s="8"/>
      <c r="C155" s="81"/>
      <c r="D155" s="5" t="s">
        <v>414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8" s="1" customFormat="1" ht="25.5" hidden="1" x14ac:dyDescent="0.2">
      <c r="A156" s="36" t="s">
        <v>229</v>
      </c>
      <c r="B156" s="18" t="s">
        <v>35</v>
      </c>
      <c r="C156" s="79" t="s">
        <v>55</v>
      </c>
      <c r="D156" s="19" t="s">
        <v>94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7.5" hidden="1" customHeight="1" x14ac:dyDescent="0.2">
      <c r="A157" s="41"/>
      <c r="B157" s="8"/>
      <c r="C157" s="81"/>
      <c r="D157" s="5" t="s">
        <v>414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25.5" hidden="1" x14ac:dyDescent="0.2">
      <c r="A158" s="41">
        <v>1513017</v>
      </c>
      <c r="B158" s="8" t="s">
        <v>56</v>
      </c>
      <c r="C158" s="20" t="s">
        <v>55</v>
      </c>
      <c r="D158" s="5" t="s">
        <v>57</v>
      </c>
      <c r="E158" s="11">
        <f t="shared" si="24"/>
        <v>0</v>
      </c>
      <c r="F158" s="12"/>
      <c r="G158" s="12"/>
      <c r="H158" s="12"/>
      <c r="I158" s="12"/>
      <c r="J158" s="11">
        <f t="shared" si="25"/>
        <v>0</v>
      </c>
      <c r="K158" s="12"/>
      <c r="L158" s="12"/>
      <c r="M158" s="12"/>
      <c r="N158" s="12"/>
      <c r="O158" s="12"/>
      <c r="P158" s="13">
        <f t="shared" si="23"/>
        <v>0</v>
      </c>
    </row>
    <row r="159" spans="1:18" ht="51" hidden="1" x14ac:dyDescent="0.2">
      <c r="A159" s="41"/>
      <c r="B159" s="8"/>
      <c r="C159" s="20"/>
      <c r="D159" s="5" t="s">
        <v>9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 t="s">
        <v>230</v>
      </c>
      <c r="B160" s="8" t="s">
        <v>146</v>
      </c>
      <c r="C160" s="20"/>
      <c r="D160" s="5" t="s">
        <v>95</v>
      </c>
      <c r="E160" s="11">
        <f t="shared" si="24"/>
        <v>0</v>
      </c>
      <c r="F160" s="12"/>
      <c r="G160" s="12"/>
      <c r="H160" s="12"/>
      <c r="I160" s="12">
        <f>I161+I163+I165</f>
        <v>0</v>
      </c>
      <c r="J160" s="11">
        <f t="shared" si="25"/>
        <v>0</v>
      </c>
      <c r="K160" s="12"/>
      <c r="L160" s="12"/>
      <c r="M160" s="12"/>
      <c r="N160" s="12"/>
      <c r="O160" s="12">
        <f>O161+O163+O165</f>
        <v>0</v>
      </c>
      <c r="P160" s="13">
        <f t="shared" si="23"/>
        <v>0</v>
      </c>
    </row>
    <row r="161" spans="1:16" s="1" customFormat="1" ht="25.5" hidden="1" x14ac:dyDescent="0.2">
      <c r="A161" s="36" t="s">
        <v>232</v>
      </c>
      <c r="B161" s="18" t="s">
        <v>36</v>
      </c>
      <c r="C161" s="79" t="s">
        <v>117</v>
      </c>
      <c r="D161" s="15" t="s">
        <v>231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42.75" hidden="1" customHeight="1" x14ac:dyDescent="0.2">
      <c r="A162" s="41"/>
      <c r="B162" s="8"/>
      <c r="C162" s="81"/>
      <c r="D162" s="5" t="s">
        <v>415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s="1" customFormat="1" ht="25.5" hidden="1" x14ac:dyDescent="0.2">
      <c r="A163" s="36" t="s">
        <v>233</v>
      </c>
      <c r="B163" s="18" t="s">
        <v>37</v>
      </c>
      <c r="C163" s="79" t="s">
        <v>55</v>
      </c>
      <c r="D163" s="19" t="s">
        <v>96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" hidden="1" customHeight="1" x14ac:dyDescent="0.2">
      <c r="A164" s="41"/>
      <c r="B164" s="8"/>
      <c r="C164" s="81"/>
      <c r="D164" s="5" t="s">
        <v>415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idden="1" x14ac:dyDescent="0.2">
      <c r="A165" s="36" t="s">
        <v>235</v>
      </c>
      <c r="B165" s="18" t="s">
        <v>38</v>
      </c>
      <c r="C165" s="79" t="s">
        <v>55</v>
      </c>
      <c r="D165" s="19" t="s">
        <v>234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38.25" hidden="1" x14ac:dyDescent="0.2">
      <c r="A166" s="41"/>
      <c r="B166" s="8"/>
      <c r="C166" s="81"/>
      <c r="D166" s="5" t="s">
        <v>24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ht="38.25" hidden="1" x14ac:dyDescent="0.2">
      <c r="A167" s="41">
        <v>1513028</v>
      </c>
      <c r="B167" s="8" t="s">
        <v>59</v>
      </c>
      <c r="C167" s="4" t="s">
        <v>55</v>
      </c>
      <c r="D167" s="23" t="s">
        <v>97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ht="38.25" hidden="1" x14ac:dyDescent="0.2">
      <c r="A168" s="41"/>
      <c r="B168" s="8"/>
      <c r="C168" s="4"/>
      <c r="D168" s="5" t="s">
        <v>24</v>
      </c>
      <c r="E168" s="11">
        <f t="shared" si="24"/>
        <v>0</v>
      </c>
      <c r="F168" s="12"/>
      <c r="G168" s="12"/>
      <c r="H168" s="12"/>
      <c r="I168" s="12">
        <f>I167</f>
        <v>0</v>
      </c>
      <c r="J168" s="11">
        <f t="shared" si="25"/>
        <v>0</v>
      </c>
      <c r="K168" s="12"/>
      <c r="L168" s="12"/>
      <c r="M168" s="12"/>
      <c r="N168" s="12"/>
      <c r="O168" s="12">
        <f>O167</f>
        <v>0</v>
      </c>
      <c r="P168" s="13">
        <f t="shared" si="23"/>
        <v>0</v>
      </c>
    </row>
    <row r="169" spans="1:16" ht="38.25" hidden="1" x14ac:dyDescent="0.2">
      <c r="A169" s="41" t="s">
        <v>237</v>
      </c>
      <c r="B169" s="8" t="s">
        <v>151</v>
      </c>
      <c r="C169" s="4"/>
      <c r="D169" s="5" t="s">
        <v>236</v>
      </c>
      <c r="E169" s="11">
        <f>SUM(E170:E173)</f>
        <v>796200</v>
      </c>
      <c r="F169" s="11"/>
      <c r="G169" s="11"/>
      <c r="H169" s="11"/>
      <c r="I169" s="11">
        <f>SUM(I170:I173)</f>
        <v>0</v>
      </c>
      <c r="J169" s="11">
        <f>SUM(J170:J173)</f>
        <v>0</v>
      </c>
      <c r="K169" s="11"/>
      <c r="L169" s="11"/>
      <c r="M169" s="11"/>
      <c r="N169" s="11"/>
      <c r="O169" s="11">
        <f>SUM(O170:O173)</f>
        <v>0</v>
      </c>
      <c r="P169" s="13">
        <f>SUM(P170:P173)</f>
        <v>796200</v>
      </c>
    </row>
    <row r="170" spans="1:16" x14ac:dyDescent="0.2">
      <c r="A170" s="41" t="s">
        <v>239</v>
      </c>
      <c r="B170" s="8" t="s">
        <v>152</v>
      </c>
      <c r="C170" s="4" t="s">
        <v>117</v>
      </c>
      <c r="D170" s="5" t="s">
        <v>238</v>
      </c>
      <c r="E170" s="11">
        <f>F170+I170</f>
        <v>184200</v>
      </c>
      <c r="F170" s="12">
        <v>184200</v>
      </c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ref="P170:P236" si="27">E170+J170</f>
        <v>184200</v>
      </c>
    </row>
    <row r="171" spans="1:16" x14ac:dyDescent="0.2">
      <c r="A171" s="41" t="s">
        <v>241</v>
      </c>
      <c r="B171" s="8" t="s">
        <v>240</v>
      </c>
      <c r="C171" s="4" t="s">
        <v>23</v>
      </c>
      <c r="D171" s="5" t="s">
        <v>154</v>
      </c>
      <c r="E171" s="11">
        <f>F171+I171</f>
        <v>12000</v>
      </c>
      <c r="F171" s="12">
        <v>12000</v>
      </c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12000</v>
      </c>
    </row>
    <row r="172" spans="1:16" ht="25.5" hidden="1" x14ac:dyDescent="0.2">
      <c r="A172" s="41" t="s">
        <v>243</v>
      </c>
      <c r="B172" s="8" t="s">
        <v>153</v>
      </c>
      <c r="C172" s="4" t="s">
        <v>23</v>
      </c>
      <c r="D172" s="5" t="s">
        <v>242</v>
      </c>
      <c r="E172" s="11">
        <f>F172+I172</f>
        <v>0</v>
      </c>
      <c r="F172" s="12"/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si="27"/>
        <v>0</v>
      </c>
    </row>
    <row r="173" spans="1:16" ht="25.5" x14ac:dyDescent="0.2">
      <c r="A173" s="41" t="s">
        <v>245</v>
      </c>
      <c r="B173" s="8" t="s">
        <v>244</v>
      </c>
      <c r="C173" s="4" t="s">
        <v>23</v>
      </c>
      <c r="D173" s="5" t="s">
        <v>155</v>
      </c>
      <c r="E173" s="11">
        <f>F173+I173</f>
        <v>600000</v>
      </c>
      <c r="F173" s="12">
        <v>600000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600000</v>
      </c>
    </row>
    <row r="174" spans="1:16" ht="25.5" hidden="1" x14ac:dyDescent="0.2">
      <c r="A174" s="41" t="s">
        <v>246</v>
      </c>
      <c r="B174" s="8" t="s">
        <v>147</v>
      </c>
      <c r="C174" s="20"/>
      <c r="D174" s="14" t="s">
        <v>419</v>
      </c>
      <c r="E174" s="11">
        <f t="shared" si="24"/>
        <v>0</v>
      </c>
      <c r="F174" s="12"/>
      <c r="G174" s="12"/>
      <c r="H174" s="12"/>
      <c r="I174" s="12">
        <f>I175+I177+I179+I181+I183+I185+I187+I189+I191</f>
        <v>0</v>
      </c>
      <c r="J174" s="11">
        <f t="shared" si="25"/>
        <v>0</v>
      </c>
      <c r="K174" s="12"/>
      <c r="L174" s="12"/>
      <c r="M174" s="12"/>
      <c r="N174" s="12"/>
      <c r="O174" s="12">
        <f>O175+O177+O179+O181+O183+O185+O187+O189+O191</f>
        <v>0</v>
      </c>
      <c r="P174" s="13">
        <f t="shared" si="27"/>
        <v>0</v>
      </c>
    </row>
    <row r="175" spans="1:16" hidden="1" x14ac:dyDescent="0.2">
      <c r="A175" s="41" t="s">
        <v>248</v>
      </c>
      <c r="B175" s="8" t="s">
        <v>39</v>
      </c>
      <c r="C175" s="20" t="s">
        <v>0</v>
      </c>
      <c r="D175" s="5" t="s">
        <v>247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t="114.75" hidden="1" x14ac:dyDescent="0.2">
      <c r="A176" s="41"/>
      <c r="B176" s="8"/>
      <c r="C176" s="20"/>
      <c r="D176" s="5" t="s">
        <v>416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idden="1" x14ac:dyDescent="0.2">
      <c r="A177" s="41" t="s">
        <v>249</v>
      </c>
      <c r="B177" s="8" t="s">
        <v>40</v>
      </c>
      <c r="C177" s="20" t="s">
        <v>0</v>
      </c>
      <c r="D177" s="21" t="s">
        <v>102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416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250</v>
      </c>
      <c r="B179" s="8" t="s">
        <v>41</v>
      </c>
      <c r="C179" s="20" t="s">
        <v>0</v>
      </c>
      <c r="D179" s="21" t="s">
        <v>98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416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251</v>
      </c>
      <c r="B181" s="8" t="s">
        <v>42</v>
      </c>
      <c r="C181" s="20" t="s">
        <v>0</v>
      </c>
      <c r="D181" s="23" t="s">
        <v>99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416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252</v>
      </c>
      <c r="B183" s="8" t="s">
        <v>43</v>
      </c>
      <c r="C183" s="20" t="s">
        <v>0</v>
      </c>
      <c r="D183" s="5" t="s">
        <v>100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253</v>
      </c>
      <c r="B185" s="8" t="s">
        <v>44</v>
      </c>
      <c r="C185" s="20" t="s">
        <v>0</v>
      </c>
      <c r="D185" s="5" t="s">
        <v>101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416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254</v>
      </c>
      <c r="B187" s="8" t="s">
        <v>45</v>
      </c>
      <c r="C187" s="20" t="s">
        <v>0</v>
      </c>
      <c r="D187" s="47" t="s">
        <v>420</v>
      </c>
      <c r="E187" s="11">
        <f>F187+I187</f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416</v>
      </c>
      <c r="E188" s="11">
        <f>F188+I188</f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256</v>
      </c>
      <c r="B189" s="8" t="s">
        <v>46</v>
      </c>
      <c r="C189" s="20" t="s">
        <v>0</v>
      </c>
      <c r="D189" s="5" t="s">
        <v>255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20.25" hidden="1" customHeight="1" x14ac:dyDescent="0.2">
      <c r="A191" s="41" t="s">
        <v>257</v>
      </c>
      <c r="B191" s="8" t="s">
        <v>47</v>
      </c>
      <c r="C191" s="20" t="s">
        <v>0</v>
      </c>
      <c r="D191" s="5" t="s">
        <v>546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 t="s">
        <v>61</v>
      </c>
      <c r="D192" s="5" t="s">
        <v>416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76.5" hidden="1" x14ac:dyDescent="0.2">
      <c r="A193" s="41" t="s">
        <v>258</v>
      </c>
      <c r="B193" s="8" t="s">
        <v>48</v>
      </c>
      <c r="C193" s="20"/>
      <c r="D193" s="5" t="s">
        <v>443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/>
      <c r="B194" s="8"/>
      <c r="C194" s="20"/>
      <c r="D194" s="5"/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25.5" hidden="1" x14ac:dyDescent="0.2">
      <c r="A195" s="41" t="s">
        <v>432</v>
      </c>
      <c r="B195" s="8" t="s">
        <v>427</v>
      </c>
      <c r="C195" s="20" t="s">
        <v>58</v>
      </c>
      <c r="D195" s="5" t="s">
        <v>437</v>
      </c>
      <c r="E195" s="11">
        <f>F195+J195</f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114.75" hidden="1" x14ac:dyDescent="0.2">
      <c r="A196" s="41"/>
      <c r="B196" s="8"/>
      <c r="C196" s="20"/>
      <c r="D196" s="5" t="s">
        <v>416</v>
      </c>
      <c r="E196" s="11">
        <f t="shared" ref="E196:E204" si="28">F196+J196</f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433</v>
      </c>
      <c r="B197" s="8" t="s">
        <v>428</v>
      </c>
      <c r="C197" s="20" t="s">
        <v>58</v>
      </c>
      <c r="D197" s="5" t="s">
        <v>438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416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434</v>
      </c>
      <c r="B199" s="8" t="s">
        <v>429</v>
      </c>
      <c r="C199" s="20" t="s">
        <v>58</v>
      </c>
      <c r="D199" s="5" t="s">
        <v>439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416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435</v>
      </c>
      <c r="B201" s="8" t="s">
        <v>430</v>
      </c>
      <c r="C201" s="20" t="s">
        <v>58</v>
      </c>
      <c r="D201" s="5" t="s">
        <v>440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416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38.25" hidden="1" x14ac:dyDescent="0.2">
      <c r="A203" s="41" t="s">
        <v>436</v>
      </c>
      <c r="B203" s="8" t="s">
        <v>431</v>
      </c>
      <c r="C203" s="20" t="s">
        <v>58</v>
      </c>
      <c r="D203" s="5" t="s">
        <v>441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89.25" hidden="1" x14ac:dyDescent="0.2">
      <c r="A205" s="41" t="s">
        <v>543</v>
      </c>
      <c r="B205" s="8" t="s">
        <v>544</v>
      </c>
      <c r="C205" s="20" t="s">
        <v>0</v>
      </c>
      <c r="D205" s="5" t="s">
        <v>547</v>
      </c>
      <c r="E205" s="11">
        <f>F205</f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416</v>
      </c>
      <c r="E206" s="11">
        <f>F206</f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25.5" hidden="1" x14ac:dyDescent="0.2">
      <c r="A207" s="41" t="s">
        <v>268</v>
      </c>
      <c r="B207" s="20" t="s">
        <v>149</v>
      </c>
      <c r="C207" s="20" t="s">
        <v>58</v>
      </c>
      <c r="D207" s="21" t="s">
        <v>395</v>
      </c>
      <c r="E207" s="11">
        <f>F207</f>
        <v>0</v>
      </c>
      <c r="F207" s="12"/>
      <c r="G207" s="12"/>
      <c r="H207" s="12"/>
      <c r="I207" s="12">
        <f>SUM(I210:I211)</f>
        <v>0</v>
      </c>
      <c r="J207" s="11">
        <f>L207+O207</f>
        <v>0</v>
      </c>
      <c r="K207" s="12"/>
      <c r="L207" s="12"/>
      <c r="M207" s="12"/>
      <c r="N207" s="12"/>
      <c r="O207" s="12">
        <f>O210+O211</f>
        <v>0</v>
      </c>
      <c r="P207" s="13">
        <f t="shared" si="27"/>
        <v>0</v>
      </c>
    </row>
    <row r="208" spans="1:16" hidden="1" x14ac:dyDescent="0.2">
      <c r="A208" s="41" t="s">
        <v>555</v>
      </c>
      <c r="B208" s="20" t="s">
        <v>557</v>
      </c>
      <c r="C208" s="20" t="s">
        <v>0</v>
      </c>
      <c r="D208" s="21" t="s">
        <v>556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20"/>
      <c r="C209" s="20"/>
      <c r="D209" s="5" t="s">
        <v>416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27.6" customHeight="1" x14ac:dyDescent="0.2">
      <c r="A210" s="41" t="s">
        <v>269</v>
      </c>
      <c r="B210" s="4" t="s">
        <v>50</v>
      </c>
      <c r="C210" s="4" t="s">
        <v>60</v>
      </c>
      <c r="D210" s="5" t="s">
        <v>267</v>
      </c>
      <c r="E210" s="11">
        <f>F210+I210</f>
        <v>7807300</v>
      </c>
      <c r="F210" s="12">
        <f>7805000+2300</f>
        <v>7807300</v>
      </c>
      <c r="G210" s="12">
        <v>5610000</v>
      </c>
      <c r="H210" s="12">
        <f>129700+2300</f>
        <v>132000</v>
      </c>
      <c r="I210" s="12"/>
      <c r="J210" s="11">
        <f>L210+O210</f>
        <v>655871</v>
      </c>
      <c r="K210" s="12"/>
      <c r="L210" s="12">
        <v>655871</v>
      </c>
      <c r="M210" s="12">
        <v>38353</v>
      </c>
      <c r="N210" s="12">
        <v>431800</v>
      </c>
      <c r="O210" s="12">
        <f>K210</f>
        <v>0</v>
      </c>
      <c r="P210" s="13">
        <f t="shared" si="27"/>
        <v>8463171</v>
      </c>
    </row>
    <row r="211" spans="1:16" hidden="1" x14ac:dyDescent="0.2">
      <c r="A211" s="41" t="s">
        <v>270</v>
      </c>
      <c r="B211" s="4" t="s">
        <v>51</v>
      </c>
      <c r="C211" s="4" t="s">
        <v>58</v>
      </c>
      <c r="D211" s="5" t="s">
        <v>396</v>
      </c>
      <c r="E211" s="11">
        <f>F211+I211</f>
        <v>0</v>
      </c>
      <c r="F211" s="12"/>
      <c r="G211" s="12"/>
      <c r="H211" s="12"/>
      <c r="I211" s="12"/>
      <c r="J211" s="11">
        <f>L211+O211</f>
        <v>0</v>
      </c>
      <c r="K211" s="12"/>
      <c r="L211" s="12"/>
      <c r="M211" s="12"/>
      <c r="N211" s="12"/>
      <c r="O211" s="12">
        <f>K211</f>
        <v>0</v>
      </c>
      <c r="P211" s="13">
        <f t="shared" si="27"/>
        <v>0</v>
      </c>
    </row>
    <row r="212" spans="1:16" hidden="1" x14ac:dyDescent="0.2">
      <c r="A212" s="41" t="s">
        <v>260</v>
      </c>
      <c r="B212" s="4" t="s">
        <v>259</v>
      </c>
      <c r="C212" s="4"/>
      <c r="D212" s="47" t="s">
        <v>12</v>
      </c>
      <c r="E212" s="11">
        <f t="shared" ref="E212:E228" si="29">F212+I212</f>
        <v>0</v>
      </c>
      <c r="F212" s="12"/>
      <c r="G212" s="12"/>
      <c r="H212" s="12"/>
      <c r="I212" s="12"/>
      <c r="J212" s="11">
        <f t="shared" ref="J212:J228" si="30">L212+O212</f>
        <v>0</v>
      </c>
      <c r="K212" s="12"/>
      <c r="L212" s="12"/>
      <c r="M212" s="12"/>
      <c r="N212" s="12"/>
      <c r="O212" s="12">
        <f>SUM(O213:O214)</f>
        <v>0</v>
      </c>
      <c r="P212" s="13">
        <f t="shared" si="27"/>
        <v>0</v>
      </c>
    </row>
    <row r="213" spans="1:16" x14ac:dyDescent="0.2">
      <c r="A213" s="41" t="s">
        <v>262</v>
      </c>
      <c r="B213" s="20" t="s">
        <v>261</v>
      </c>
      <c r="C213" s="20" t="s">
        <v>0</v>
      </c>
      <c r="D213" s="14" t="s">
        <v>608</v>
      </c>
      <c r="E213" s="11">
        <f t="shared" si="29"/>
        <v>2711600</v>
      </c>
      <c r="F213" s="12">
        <f>2706000+5600</f>
        <v>2711600</v>
      </c>
      <c r="G213" s="12">
        <v>2086000</v>
      </c>
      <c r="H213" s="12">
        <f>61000+5600</f>
        <v>66600</v>
      </c>
      <c r="I213" s="12"/>
      <c r="J213" s="11">
        <f t="shared" si="30"/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2711600</v>
      </c>
    </row>
    <row r="214" spans="1:16" hidden="1" x14ac:dyDescent="0.2">
      <c r="A214" s="41" t="s">
        <v>382</v>
      </c>
      <c r="B214" s="20" t="s">
        <v>381</v>
      </c>
      <c r="C214" s="20" t="s">
        <v>0</v>
      </c>
      <c r="D214" s="14" t="s">
        <v>383</v>
      </c>
      <c r="E214" s="11">
        <f t="shared" si="29"/>
        <v>0</v>
      </c>
      <c r="F214" s="12"/>
      <c r="G214" s="12"/>
      <c r="H214" s="12"/>
      <c r="I214" s="12"/>
      <c r="J214" s="11">
        <f t="shared" si="30"/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 t="s">
        <v>263</v>
      </c>
      <c r="B215" s="20" t="s">
        <v>148</v>
      </c>
      <c r="C215" s="20"/>
      <c r="D215" s="23" t="s">
        <v>142</v>
      </c>
      <c r="E215" s="11">
        <f t="shared" si="29"/>
        <v>0</v>
      </c>
      <c r="F215" s="12"/>
      <c r="G215" s="12"/>
      <c r="H215" s="12"/>
      <c r="I215" s="12">
        <f>I216</f>
        <v>0</v>
      </c>
      <c r="J215" s="11">
        <f t="shared" si="30"/>
        <v>0</v>
      </c>
      <c r="K215" s="12"/>
      <c r="L215" s="12"/>
      <c r="M215" s="12"/>
      <c r="N215" s="12"/>
      <c r="O215" s="12">
        <f>O216</f>
        <v>0</v>
      </c>
      <c r="P215" s="13">
        <f t="shared" si="27"/>
        <v>0</v>
      </c>
    </row>
    <row r="216" spans="1:16" ht="15.75" hidden="1" x14ac:dyDescent="0.25">
      <c r="A216" s="41" t="s">
        <v>265</v>
      </c>
      <c r="B216" s="20" t="s">
        <v>264</v>
      </c>
      <c r="C216" s="20" t="s">
        <v>0</v>
      </c>
      <c r="D216" s="46" t="s">
        <v>135</v>
      </c>
      <c r="E216" s="11">
        <f t="shared" si="29"/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>
        <v>1513500</v>
      </c>
      <c r="B217" s="4" t="s">
        <v>22</v>
      </c>
      <c r="C217" s="4" t="s">
        <v>0</v>
      </c>
      <c r="D217" s="5" t="s">
        <v>129</v>
      </c>
      <c r="E217" s="11">
        <f t="shared" si="29"/>
        <v>0</v>
      </c>
      <c r="F217" s="12"/>
      <c r="G217" s="12"/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0</v>
      </c>
    </row>
    <row r="218" spans="1:16" ht="38.25" x14ac:dyDescent="0.2">
      <c r="A218" s="41" t="s">
        <v>266</v>
      </c>
      <c r="B218" s="20" t="s">
        <v>30</v>
      </c>
      <c r="C218" s="20" t="s">
        <v>0</v>
      </c>
      <c r="D218" s="21" t="s">
        <v>85</v>
      </c>
      <c r="E218" s="11">
        <f t="shared" si="29"/>
        <v>1000000</v>
      </c>
      <c r="F218" s="12">
        <v>1000000</v>
      </c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/>
      <c r="P218" s="13">
        <f t="shared" si="27"/>
        <v>1000000</v>
      </c>
    </row>
    <row r="219" spans="1:16" hidden="1" x14ac:dyDescent="0.2">
      <c r="A219" s="41"/>
      <c r="B219" s="20"/>
      <c r="C219" s="20"/>
      <c r="D219" s="21" t="s">
        <v>472</v>
      </c>
      <c r="E219" s="11"/>
      <c r="F219" s="12"/>
      <c r="G219" s="12"/>
      <c r="H219" s="12"/>
      <c r="I219" s="12"/>
      <c r="J219" s="11"/>
      <c r="K219" s="12"/>
      <c r="L219" s="12"/>
      <c r="M219" s="12"/>
      <c r="N219" s="12"/>
      <c r="O219" s="12"/>
      <c r="P219" s="13">
        <f t="shared" si="27"/>
        <v>0</v>
      </c>
    </row>
    <row r="220" spans="1:16" ht="39.75" customHeight="1" x14ac:dyDescent="0.2">
      <c r="A220" s="41" t="s">
        <v>271</v>
      </c>
      <c r="B220" s="4" t="s">
        <v>49</v>
      </c>
      <c r="C220" s="4" t="s">
        <v>58</v>
      </c>
      <c r="D220" s="5" t="s">
        <v>397</v>
      </c>
      <c r="E220" s="11">
        <f t="shared" si="29"/>
        <v>1000000</v>
      </c>
      <c r="F220" s="12">
        <v>1000000</v>
      </c>
      <c r="G220" s="12"/>
      <c r="H220" s="12"/>
      <c r="I220" s="12">
        <f>SUM(I221)</f>
        <v>0</v>
      </c>
      <c r="J220" s="11">
        <f t="shared" si="30"/>
        <v>0</v>
      </c>
      <c r="K220" s="12"/>
      <c r="L220" s="12"/>
      <c r="M220" s="12"/>
      <c r="N220" s="12"/>
      <c r="O220" s="12">
        <f>SUM(O221)</f>
        <v>0</v>
      </c>
      <c r="P220" s="13">
        <f t="shared" si="27"/>
        <v>1000000</v>
      </c>
    </row>
    <row r="221" spans="1:16" ht="25.5" hidden="1" customHeight="1" x14ac:dyDescent="0.2">
      <c r="A221" s="41" t="s">
        <v>398</v>
      </c>
      <c r="B221" s="4" t="s">
        <v>272</v>
      </c>
      <c r="C221" s="4" t="s">
        <v>58</v>
      </c>
      <c r="D221" s="5" t="s">
        <v>267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/>
      <c r="P221" s="13">
        <f t="shared" si="27"/>
        <v>0</v>
      </c>
    </row>
    <row r="222" spans="1:16" hidden="1" x14ac:dyDescent="0.2">
      <c r="A222" s="41" t="s">
        <v>399</v>
      </c>
      <c r="B222" s="4" t="s">
        <v>400</v>
      </c>
      <c r="C222" s="4"/>
      <c r="D222" s="5" t="s">
        <v>16</v>
      </c>
      <c r="E222" s="11">
        <f>E223</f>
        <v>600000</v>
      </c>
      <c r="F222" s="11"/>
      <c r="G222" s="11"/>
      <c r="H222" s="11"/>
      <c r="I222" s="11">
        <f t="shared" ref="I222:O222" si="31">I223</f>
        <v>0</v>
      </c>
      <c r="J222" s="11">
        <f t="shared" si="31"/>
        <v>0</v>
      </c>
      <c r="K222" s="11"/>
      <c r="L222" s="11"/>
      <c r="M222" s="11"/>
      <c r="N222" s="11"/>
      <c r="O222" s="11">
        <f t="shared" si="31"/>
        <v>0</v>
      </c>
      <c r="P222" s="13">
        <f t="shared" si="27"/>
        <v>600000</v>
      </c>
    </row>
    <row r="223" spans="1:16" ht="25.5" x14ac:dyDescent="0.2">
      <c r="A223" s="41" t="s">
        <v>401</v>
      </c>
      <c r="B223" s="4" t="s">
        <v>402</v>
      </c>
      <c r="C223" s="4" t="s">
        <v>117</v>
      </c>
      <c r="D223" s="5" t="s">
        <v>609</v>
      </c>
      <c r="E223" s="11">
        <f>F223+I223</f>
        <v>600000</v>
      </c>
      <c r="F223" s="12">
        <v>600000</v>
      </c>
      <c r="G223" s="12"/>
      <c r="H223" s="12"/>
      <c r="I223" s="12"/>
      <c r="J223" s="11">
        <f>L223+O223</f>
        <v>0</v>
      </c>
      <c r="K223" s="12"/>
      <c r="L223" s="12"/>
      <c r="M223" s="12"/>
      <c r="N223" s="12"/>
      <c r="O223" s="12">
        <f>K223</f>
        <v>0</v>
      </c>
      <c r="P223" s="13">
        <f t="shared" si="27"/>
        <v>600000</v>
      </c>
    </row>
    <row r="224" spans="1:16" x14ac:dyDescent="0.2">
      <c r="A224" s="41" t="s">
        <v>403</v>
      </c>
      <c r="B224" s="20" t="s">
        <v>404</v>
      </c>
      <c r="C224" s="20" t="s">
        <v>14</v>
      </c>
      <c r="D224" s="14" t="s">
        <v>15</v>
      </c>
      <c r="E224" s="11">
        <f t="shared" si="29"/>
        <v>200000</v>
      </c>
      <c r="F224" s="12">
        <v>200000</v>
      </c>
      <c r="G224" s="12">
        <v>60000</v>
      </c>
      <c r="H224" s="12"/>
      <c r="I224" s="12"/>
      <c r="J224" s="11">
        <f t="shared" si="30"/>
        <v>0</v>
      </c>
      <c r="K224" s="12"/>
      <c r="L224" s="12"/>
      <c r="M224" s="12"/>
      <c r="N224" s="12"/>
      <c r="O224" s="12"/>
      <c r="P224" s="13">
        <f t="shared" si="27"/>
        <v>200000</v>
      </c>
    </row>
    <row r="225" spans="1:18" hidden="1" x14ac:dyDescent="0.2">
      <c r="A225" s="41">
        <v>1518600</v>
      </c>
      <c r="B225" s="8" t="s">
        <v>27</v>
      </c>
      <c r="C225" s="4" t="s">
        <v>128</v>
      </c>
      <c r="D225" s="5" t="s">
        <v>129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0</v>
      </c>
    </row>
    <row r="226" spans="1:18" ht="25.5" hidden="1" x14ac:dyDescent="0.2">
      <c r="A226" s="41" t="s">
        <v>510</v>
      </c>
      <c r="B226" s="8" t="s">
        <v>511</v>
      </c>
      <c r="C226" s="4"/>
      <c r="D226" s="5" t="s">
        <v>514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102" hidden="1" x14ac:dyDescent="0.2">
      <c r="A227" s="41" t="s">
        <v>512</v>
      </c>
      <c r="B227" s="8" t="s">
        <v>513</v>
      </c>
      <c r="C227" s="4" t="s">
        <v>55</v>
      </c>
      <c r="D227" s="5" t="s">
        <v>515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>
        <f>K227</f>
        <v>0</v>
      </c>
      <c r="P227" s="13">
        <f t="shared" si="27"/>
        <v>0</v>
      </c>
    </row>
    <row r="228" spans="1:18" ht="117" hidden="1" customHeight="1" x14ac:dyDescent="0.2">
      <c r="A228" s="41"/>
      <c r="B228" s="8"/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89.25" hidden="1" x14ac:dyDescent="0.2">
      <c r="A229" s="41" t="s">
        <v>442</v>
      </c>
      <c r="B229" s="20" t="s">
        <v>426</v>
      </c>
      <c r="C229" s="20" t="s">
        <v>0</v>
      </c>
      <c r="D229" s="5" t="s">
        <v>545</v>
      </c>
      <c r="E229" s="11">
        <f>F229+I229</f>
        <v>0</v>
      </c>
      <c r="F229" s="12"/>
      <c r="G229" s="12"/>
      <c r="H229" s="12"/>
      <c r="I229" s="12"/>
      <c r="J229" s="11"/>
      <c r="K229" s="12"/>
      <c r="L229" s="12"/>
      <c r="M229" s="12"/>
      <c r="N229" s="12"/>
      <c r="O229" s="12"/>
      <c r="P229" s="13">
        <f t="shared" si="27"/>
        <v>0</v>
      </c>
    </row>
    <row r="230" spans="1:18" ht="105.6" hidden="1" customHeight="1" x14ac:dyDescent="0.2">
      <c r="A230" s="41"/>
      <c r="B230" s="8"/>
      <c r="C230" s="20"/>
      <c r="D230" s="5" t="s">
        <v>548</v>
      </c>
      <c r="E230" s="11">
        <f>F230+I230</f>
        <v>0</v>
      </c>
      <c r="F230" s="12"/>
      <c r="G230" s="12"/>
      <c r="H230" s="12"/>
      <c r="I230" s="12"/>
      <c r="J230" s="11"/>
      <c r="K230" s="12"/>
      <c r="L230" s="12"/>
      <c r="M230" s="12"/>
      <c r="N230" s="12"/>
      <c r="O230" s="12"/>
      <c r="P230" s="13">
        <f t="shared" si="27"/>
        <v>0</v>
      </c>
    </row>
    <row r="231" spans="1:18" ht="25.5" x14ac:dyDescent="0.2">
      <c r="A231" s="41" t="s">
        <v>643</v>
      </c>
      <c r="B231" s="4" t="s">
        <v>644</v>
      </c>
      <c r="C231" s="4" t="s">
        <v>116</v>
      </c>
      <c r="D231" s="102" t="s">
        <v>645</v>
      </c>
      <c r="E231" s="11">
        <f>F231+I231</f>
        <v>3742700</v>
      </c>
      <c r="F231" s="12">
        <v>3742700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7"/>
        <v>3742700</v>
      </c>
    </row>
    <row r="232" spans="1:18" x14ac:dyDescent="0.2">
      <c r="A232" s="41" t="s">
        <v>407</v>
      </c>
      <c r="B232" s="4" t="s">
        <v>406</v>
      </c>
      <c r="C232" s="4" t="s">
        <v>116</v>
      </c>
      <c r="D232" s="72" t="s">
        <v>405</v>
      </c>
      <c r="E232" s="11">
        <f>F232+I232</f>
        <v>5782300</v>
      </c>
      <c r="F232" s="12">
        <f>236000+200000+2400000+53000+320000+1400000+67000+100000+400000+206300+400000</f>
        <v>5782300</v>
      </c>
      <c r="G232" s="12"/>
      <c r="H232" s="12"/>
      <c r="I232" s="12"/>
      <c r="J232" s="11">
        <f>L232+O232</f>
        <v>320000</v>
      </c>
      <c r="K232" s="12">
        <v>320000</v>
      </c>
      <c r="L232" s="12"/>
      <c r="M232" s="12"/>
      <c r="N232" s="12"/>
      <c r="O232" s="12">
        <f>K232</f>
        <v>320000</v>
      </c>
      <c r="P232" s="13">
        <f t="shared" si="27"/>
        <v>6102300</v>
      </c>
    </row>
    <row r="233" spans="1:18" hidden="1" x14ac:dyDescent="0.2">
      <c r="A233" s="41"/>
      <c r="B233" s="4"/>
      <c r="C233" s="4"/>
      <c r="D233" s="72" t="s">
        <v>472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7"/>
        <v>0</v>
      </c>
    </row>
    <row r="234" spans="1:18" hidden="1" x14ac:dyDescent="0.2">
      <c r="A234" s="41" t="s">
        <v>450</v>
      </c>
      <c r="B234" s="4" t="s">
        <v>180</v>
      </c>
      <c r="C234" s="4"/>
      <c r="D234" s="82" t="s">
        <v>182</v>
      </c>
      <c r="E234" s="11">
        <f>E235</f>
        <v>70000</v>
      </c>
      <c r="F234" s="11"/>
      <c r="G234" s="11"/>
      <c r="H234" s="11"/>
      <c r="I234" s="11">
        <f t="shared" ref="I234:O234" si="32">I235</f>
        <v>0</v>
      </c>
      <c r="J234" s="11">
        <f t="shared" si="32"/>
        <v>0</v>
      </c>
      <c r="K234" s="11">
        <f>K235</f>
        <v>0</v>
      </c>
      <c r="L234" s="11">
        <f t="shared" si="32"/>
        <v>0</v>
      </c>
      <c r="M234" s="11">
        <f t="shared" si="32"/>
        <v>0</v>
      </c>
      <c r="N234" s="11">
        <f t="shared" si="32"/>
        <v>0</v>
      </c>
      <c r="O234" s="11">
        <f t="shared" si="32"/>
        <v>0</v>
      </c>
      <c r="P234" s="13">
        <f t="shared" si="27"/>
        <v>70000</v>
      </c>
    </row>
    <row r="235" spans="1:18" x14ac:dyDescent="0.2">
      <c r="A235" s="41" t="s">
        <v>451</v>
      </c>
      <c r="B235" s="4" t="s">
        <v>184</v>
      </c>
      <c r="C235" s="4" t="s">
        <v>121</v>
      </c>
      <c r="D235" s="82" t="s">
        <v>185</v>
      </c>
      <c r="E235" s="11">
        <f>F235+I235</f>
        <v>70000</v>
      </c>
      <c r="F235" s="12">
        <v>70000</v>
      </c>
      <c r="G235" s="12"/>
      <c r="H235" s="12"/>
      <c r="I235" s="12"/>
      <c r="J235" s="11">
        <f>L235+O235</f>
        <v>0</v>
      </c>
      <c r="K235" s="12"/>
      <c r="L235" s="12"/>
      <c r="M235" s="12"/>
      <c r="N235" s="12"/>
      <c r="O235" s="12"/>
      <c r="P235" s="13">
        <f t="shared" si="27"/>
        <v>70000</v>
      </c>
    </row>
    <row r="236" spans="1:18" x14ac:dyDescent="0.2">
      <c r="A236" s="62" t="s">
        <v>168</v>
      </c>
      <c r="B236" s="6"/>
      <c r="C236" s="7"/>
      <c r="D236" s="31" t="s">
        <v>63</v>
      </c>
      <c r="E236" s="25">
        <f>E237</f>
        <v>4031400</v>
      </c>
      <c r="F236" s="25">
        <f t="shared" ref="F236:O236" si="33">F237</f>
        <v>4031400</v>
      </c>
      <c r="G236" s="25">
        <f t="shared" si="33"/>
        <v>2868000</v>
      </c>
      <c r="H236" s="25">
        <f t="shared" si="33"/>
        <v>51500</v>
      </c>
      <c r="I236" s="25">
        <f t="shared" si="33"/>
        <v>0</v>
      </c>
      <c r="J236" s="25">
        <f t="shared" si="33"/>
        <v>0</v>
      </c>
      <c r="K236" s="25">
        <f>K237</f>
        <v>0</v>
      </c>
      <c r="L236" s="25">
        <f t="shared" si="33"/>
        <v>0</v>
      </c>
      <c r="M236" s="25">
        <f t="shared" si="33"/>
        <v>0</v>
      </c>
      <c r="N236" s="25">
        <f t="shared" si="33"/>
        <v>0</v>
      </c>
      <c r="O236" s="25">
        <f t="shared" si="33"/>
        <v>0</v>
      </c>
      <c r="P236" s="13">
        <f t="shared" si="27"/>
        <v>4031400</v>
      </c>
      <c r="R236" s="34"/>
    </row>
    <row r="237" spans="1:18" x14ac:dyDescent="0.2">
      <c r="A237" s="41" t="s">
        <v>273</v>
      </c>
      <c r="B237" s="8"/>
      <c r="C237" s="7"/>
      <c r="D237" s="15" t="s">
        <v>63</v>
      </c>
      <c r="E237" s="25">
        <f>E238+E241+E240</f>
        <v>4031400</v>
      </c>
      <c r="F237" s="25">
        <f>F238+F240+F239+F241</f>
        <v>4031400</v>
      </c>
      <c r="G237" s="25">
        <f t="shared" ref="G237:O237" si="34">G238+G240+G239</f>
        <v>2868000</v>
      </c>
      <c r="H237" s="25">
        <f t="shared" si="34"/>
        <v>51500</v>
      </c>
      <c r="I237" s="25">
        <f t="shared" si="34"/>
        <v>0</v>
      </c>
      <c r="J237" s="25">
        <f t="shared" si="34"/>
        <v>0</v>
      </c>
      <c r="K237" s="25">
        <f>K238+K240+K239</f>
        <v>0</v>
      </c>
      <c r="L237" s="25">
        <f t="shared" si="34"/>
        <v>0</v>
      </c>
      <c r="M237" s="25">
        <f t="shared" si="34"/>
        <v>0</v>
      </c>
      <c r="N237" s="25">
        <f t="shared" si="34"/>
        <v>0</v>
      </c>
      <c r="O237" s="25">
        <f t="shared" si="34"/>
        <v>0</v>
      </c>
      <c r="P237" s="25">
        <f>P238+P240+P239+P241+P240</f>
        <v>4131400</v>
      </c>
    </row>
    <row r="238" spans="1:18" ht="25.5" x14ac:dyDescent="0.2">
      <c r="A238" s="41" t="s">
        <v>274</v>
      </c>
      <c r="B238" s="4" t="s">
        <v>187</v>
      </c>
      <c r="C238" s="4" t="s">
        <v>115</v>
      </c>
      <c r="D238" s="14" t="s">
        <v>604</v>
      </c>
      <c r="E238" s="11">
        <f>F238+I238</f>
        <v>3781400</v>
      </c>
      <c r="F238" s="12">
        <f>3777900+3500</f>
        <v>3781400</v>
      </c>
      <c r="G238" s="12">
        <v>2868000</v>
      </c>
      <c r="H238" s="12">
        <f>48000+3500</f>
        <v>51500</v>
      </c>
      <c r="I238" s="12"/>
      <c r="J238" s="11">
        <f>L238+O238</f>
        <v>0</v>
      </c>
      <c r="K238" s="12"/>
      <c r="L238" s="12"/>
      <c r="M238" s="12"/>
      <c r="N238" s="12"/>
      <c r="O238" s="12">
        <f>K238</f>
        <v>0</v>
      </c>
      <c r="P238" s="13">
        <f t="shared" ref="P238:P255" si="35">E238+J238</f>
        <v>3781400</v>
      </c>
    </row>
    <row r="239" spans="1:18" hidden="1" x14ac:dyDescent="0.2">
      <c r="A239" s="41"/>
      <c r="B239" s="4"/>
      <c r="C239" s="4"/>
      <c r="D239" s="14"/>
      <c r="E239" s="11">
        <f>F239+I239</f>
        <v>0</v>
      </c>
      <c r="F239" s="12"/>
      <c r="G239" s="12"/>
      <c r="H239" s="12"/>
      <c r="I239" s="12"/>
      <c r="J239" s="11">
        <f>L239+O239</f>
        <v>0</v>
      </c>
      <c r="K239" s="12"/>
      <c r="L239" s="12"/>
      <c r="M239" s="12"/>
      <c r="N239" s="12"/>
      <c r="O239" s="12">
        <f>K239</f>
        <v>0</v>
      </c>
      <c r="P239" s="13">
        <f t="shared" si="35"/>
        <v>0</v>
      </c>
    </row>
    <row r="240" spans="1:18" ht="38.25" x14ac:dyDescent="0.2">
      <c r="A240" s="107" t="s">
        <v>652</v>
      </c>
      <c r="B240" s="8" t="s">
        <v>653</v>
      </c>
      <c r="C240" s="4" t="s">
        <v>0</v>
      </c>
      <c r="D240" s="106" t="s">
        <v>654</v>
      </c>
      <c r="E240" s="11">
        <f>F240+I240</f>
        <v>100000</v>
      </c>
      <c r="F240" s="11">
        <v>100000</v>
      </c>
      <c r="G240" s="11"/>
      <c r="H240" s="11"/>
      <c r="I240" s="11">
        <f t="shared" ref="I240:O240" si="36">I241</f>
        <v>0</v>
      </c>
      <c r="J240" s="11">
        <f t="shared" si="36"/>
        <v>0</v>
      </c>
      <c r="K240" s="11">
        <f>K241</f>
        <v>0</v>
      </c>
      <c r="L240" s="11">
        <f t="shared" si="36"/>
        <v>0</v>
      </c>
      <c r="M240" s="11">
        <f t="shared" si="36"/>
        <v>0</v>
      </c>
      <c r="N240" s="11">
        <f t="shared" si="36"/>
        <v>0</v>
      </c>
      <c r="O240" s="11">
        <f t="shared" si="36"/>
        <v>0</v>
      </c>
      <c r="P240" s="13">
        <f t="shared" si="35"/>
        <v>100000</v>
      </c>
    </row>
    <row r="241" spans="1:18" ht="15.75" x14ac:dyDescent="0.25">
      <c r="A241" s="41" t="s">
        <v>275</v>
      </c>
      <c r="B241" s="8" t="s">
        <v>162</v>
      </c>
      <c r="C241" s="4" t="s">
        <v>0</v>
      </c>
      <c r="D241" s="46" t="s">
        <v>161</v>
      </c>
      <c r="E241" s="11">
        <f>F241</f>
        <v>150000</v>
      </c>
      <c r="F241" s="12">
        <v>150000</v>
      </c>
      <c r="G241" s="12"/>
      <c r="H241" s="12"/>
      <c r="I241" s="12"/>
      <c r="J241" s="11"/>
      <c r="K241" s="12"/>
      <c r="L241" s="12"/>
      <c r="M241" s="12"/>
      <c r="N241" s="12"/>
      <c r="O241" s="12"/>
      <c r="P241" s="13">
        <f t="shared" si="35"/>
        <v>150000</v>
      </c>
    </row>
    <row r="242" spans="1:18" ht="25.5" x14ac:dyDescent="0.2">
      <c r="A242" s="62">
        <v>1000000</v>
      </c>
      <c r="B242" s="6"/>
      <c r="C242" s="7"/>
      <c r="D242" s="31" t="s">
        <v>602</v>
      </c>
      <c r="E242" s="25">
        <f>E244</f>
        <v>52233800</v>
      </c>
      <c r="F242" s="25">
        <f t="shared" ref="F242:O242" si="37">F244</f>
        <v>52233800</v>
      </c>
      <c r="G242" s="25">
        <f t="shared" si="37"/>
        <v>35352000</v>
      </c>
      <c r="H242" s="25">
        <f t="shared" si="37"/>
        <v>3917100</v>
      </c>
      <c r="I242" s="25">
        <f t="shared" si="37"/>
        <v>0</v>
      </c>
      <c r="J242" s="25">
        <f t="shared" si="37"/>
        <v>6542400</v>
      </c>
      <c r="K242" s="25">
        <f>K244</f>
        <v>3358000</v>
      </c>
      <c r="L242" s="25">
        <f t="shared" si="37"/>
        <v>3184400</v>
      </c>
      <c r="M242" s="25">
        <f t="shared" si="37"/>
        <v>1649600</v>
      </c>
      <c r="N242" s="25">
        <f t="shared" si="37"/>
        <v>0</v>
      </c>
      <c r="O242" s="25">
        <f t="shared" si="37"/>
        <v>3358000</v>
      </c>
      <c r="P242" s="13">
        <f t="shared" si="35"/>
        <v>58776200</v>
      </c>
      <c r="R242" s="34"/>
    </row>
    <row r="243" spans="1:18" hidden="1" x14ac:dyDescent="0.2">
      <c r="A243" s="62"/>
      <c r="B243" s="6"/>
      <c r="C243" s="7"/>
      <c r="D243" s="35" t="s">
        <v>472</v>
      </c>
      <c r="E243" s="25"/>
      <c r="F243" s="25"/>
      <c r="G243" s="25"/>
      <c r="H243" s="25"/>
      <c r="I243" s="25"/>
      <c r="J243" s="17">
        <f>J247</f>
        <v>0</v>
      </c>
      <c r="K243" s="17">
        <f t="shared" ref="K243:P243" si="38">K247</f>
        <v>0</v>
      </c>
      <c r="L243" s="17">
        <f t="shared" si="38"/>
        <v>0</v>
      </c>
      <c r="M243" s="17">
        <f t="shared" si="38"/>
        <v>0</v>
      </c>
      <c r="N243" s="17">
        <f t="shared" si="38"/>
        <v>0</v>
      </c>
      <c r="O243" s="17">
        <f t="shared" si="38"/>
        <v>0</v>
      </c>
      <c r="P243" s="32">
        <f t="shared" si="38"/>
        <v>0</v>
      </c>
    </row>
    <row r="244" spans="1:18" ht="15.75" customHeight="1" x14ac:dyDescent="0.2">
      <c r="A244" s="41" t="s">
        <v>276</v>
      </c>
      <c r="B244" s="8"/>
      <c r="C244" s="7"/>
      <c r="D244" s="15" t="s">
        <v>602</v>
      </c>
      <c r="E244" s="25">
        <f>E245+E246+E249+E251+E252+E254+E255+E248</f>
        <v>52233800</v>
      </c>
      <c r="F244" s="25">
        <f>F245+F246+F249+F251+F252+F254+F255+F248</f>
        <v>52233800</v>
      </c>
      <c r="G244" s="25">
        <f>G245+G246+G249+G251+G252+G254+G255</f>
        <v>35352000</v>
      </c>
      <c r="H244" s="25">
        <f>H245+H246+H249+H251+H252+H254+H255</f>
        <v>3917100</v>
      </c>
      <c r="I244" s="25">
        <f>SUM(I245:I253)</f>
        <v>0</v>
      </c>
      <c r="J244" s="25">
        <f t="shared" ref="J244:O244" si="39">J245+J246+J249+J251+J252+J254+J255</f>
        <v>6542400</v>
      </c>
      <c r="K244" s="25">
        <f t="shared" si="39"/>
        <v>3358000</v>
      </c>
      <c r="L244" s="25">
        <f t="shared" si="39"/>
        <v>3184400</v>
      </c>
      <c r="M244" s="25">
        <f t="shared" si="39"/>
        <v>1649600</v>
      </c>
      <c r="N244" s="25">
        <f t="shared" si="39"/>
        <v>0</v>
      </c>
      <c r="O244" s="25">
        <f t="shared" si="39"/>
        <v>3358000</v>
      </c>
      <c r="P244" s="13">
        <f t="shared" si="35"/>
        <v>58776200</v>
      </c>
    </row>
    <row r="245" spans="1:18" ht="25.5" x14ac:dyDescent="0.2">
      <c r="A245" s="41" t="s">
        <v>277</v>
      </c>
      <c r="B245" s="4" t="s">
        <v>187</v>
      </c>
      <c r="C245" s="4" t="s">
        <v>115</v>
      </c>
      <c r="D245" s="14" t="s">
        <v>604</v>
      </c>
      <c r="E245" s="11">
        <f t="shared" ref="E245:E255" si="40">F245+I245</f>
        <v>2378800</v>
      </c>
      <c r="F245" s="12">
        <f>2429800-51000</f>
        <v>2378800</v>
      </c>
      <c r="G245" s="12">
        <f>1065000+675600</f>
        <v>1740600</v>
      </c>
      <c r="H245" s="12"/>
      <c r="I245" s="12"/>
      <c r="J245" s="11">
        <f t="shared" ref="J245:J255" si="41">L245+O245</f>
        <v>160700</v>
      </c>
      <c r="K245" s="12">
        <f>109700+51000</f>
        <v>160700</v>
      </c>
      <c r="L245" s="12"/>
      <c r="M245" s="12"/>
      <c r="N245" s="12"/>
      <c r="O245" s="12">
        <f t="shared" ref="O245:O255" si="42">K245</f>
        <v>160700</v>
      </c>
      <c r="P245" s="13">
        <f t="shared" si="35"/>
        <v>2539500</v>
      </c>
    </row>
    <row r="246" spans="1:18" x14ac:dyDescent="0.2">
      <c r="A246" s="41" t="s">
        <v>642</v>
      </c>
      <c r="B246" s="98" t="s">
        <v>618</v>
      </c>
      <c r="C246" s="20" t="s">
        <v>133</v>
      </c>
      <c r="D246" s="5" t="s">
        <v>573</v>
      </c>
      <c r="E246" s="11">
        <f>F246+I246</f>
        <v>22349500</v>
      </c>
      <c r="F246" s="12">
        <f>22411400-61900</f>
        <v>22349500</v>
      </c>
      <c r="G246" s="12">
        <v>17326700</v>
      </c>
      <c r="H246" s="12">
        <f>1090000-61900</f>
        <v>1028100</v>
      </c>
      <c r="I246" s="12"/>
      <c r="J246" s="11">
        <f>L246+O246</f>
        <v>2220000</v>
      </c>
      <c r="K246" s="12"/>
      <c r="L246" s="12">
        <v>2220000</v>
      </c>
      <c r="M246" s="12">
        <v>1500000</v>
      </c>
      <c r="N246" s="12"/>
      <c r="O246" s="12">
        <f t="shared" si="42"/>
        <v>0</v>
      </c>
      <c r="P246" s="13">
        <f t="shared" si="35"/>
        <v>24569500</v>
      </c>
    </row>
    <row r="247" spans="1:18" s="1" customFormat="1" hidden="1" x14ac:dyDescent="0.2">
      <c r="A247" s="36"/>
      <c r="B247" s="22"/>
      <c r="C247" s="22"/>
      <c r="D247" s="35" t="s">
        <v>472</v>
      </c>
      <c r="E247" s="10"/>
      <c r="F247" s="17"/>
      <c r="G247" s="17"/>
      <c r="H247" s="17"/>
      <c r="I247" s="17"/>
      <c r="J247" s="10">
        <f>L247+O247</f>
        <v>0</v>
      </c>
      <c r="K247" s="17"/>
      <c r="L247" s="17"/>
      <c r="M247" s="17"/>
      <c r="N247" s="17"/>
      <c r="O247" s="17">
        <f>K247</f>
        <v>0</v>
      </c>
      <c r="P247" s="16">
        <f>E247+J247</f>
        <v>0</v>
      </c>
    </row>
    <row r="248" spans="1:18" ht="15.75" customHeight="1" x14ac:dyDescent="0.2">
      <c r="A248" s="41" t="s">
        <v>637</v>
      </c>
      <c r="B248" s="20" t="s">
        <v>264</v>
      </c>
      <c r="C248" s="27" t="s">
        <v>0</v>
      </c>
      <c r="D248" s="47" t="s">
        <v>135</v>
      </c>
      <c r="E248" s="11">
        <f>F248+I248</f>
        <v>650000</v>
      </c>
      <c r="F248" s="12">
        <v>650000</v>
      </c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>E248+J248</f>
        <v>650000</v>
      </c>
    </row>
    <row r="249" spans="1:18" x14ac:dyDescent="0.2">
      <c r="A249" s="41" t="s">
        <v>280</v>
      </c>
      <c r="B249" s="20" t="s">
        <v>279</v>
      </c>
      <c r="C249" s="20" t="s">
        <v>64</v>
      </c>
      <c r="D249" s="5" t="s">
        <v>278</v>
      </c>
      <c r="E249" s="11">
        <f t="shared" si="40"/>
        <v>6796500</v>
      </c>
      <c r="F249" s="12">
        <f>6794100+2400</f>
        <v>6796500</v>
      </c>
      <c r="G249" s="12">
        <v>4976700</v>
      </c>
      <c r="H249" s="12">
        <f>480000+2400</f>
        <v>482400</v>
      </c>
      <c r="I249" s="12"/>
      <c r="J249" s="11">
        <f t="shared" si="41"/>
        <v>160000</v>
      </c>
      <c r="K249" s="12">
        <v>100000</v>
      </c>
      <c r="L249" s="12">
        <v>60000</v>
      </c>
      <c r="M249" s="12"/>
      <c r="N249" s="12"/>
      <c r="O249" s="17">
        <f>K249</f>
        <v>100000</v>
      </c>
      <c r="P249" s="13">
        <f t="shared" si="35"/>
        <v>6956500</v>
      </c>
    </row>
    <row r="250" spans="1:18" hidden="1" x14ac:dyDescent="0.2">
      <c r="A250" s="41"/>
      <c r="B250" s="20"/>
      <c r="C250" s="20"/>
      <c r="E250" s="11"/>
      <c r="F250" s="12"/>
      <c r="G250" s="12"/>
      <c r="H250" s="12"/>
      <c r="I250" s="12"/>
      <c r="J250" s="11"/>
      <c r="K250" s="12"/>
      <c r="L250" s="12"/>
      <c r="M250" s="12"/>
      <c r="N250" s="12"/>
      <c r="O250" s="12"/>
      <c r="P250" s="13"/>
    </row>
    <row r="251" spans="1:18" x14ac:dyDescent="0.2">
      <c r="A251" s="41" t="s">
        <v>283</v>
      </c>
      <c r="B251" s="4" t="s">
        <v>282</v>
      </c>
      <c r="C251" s="4" t="s">
        <v>64</v>
      </c>
      <c r="D251" s="14" t="s">
        <v>281</v>
      </c>
      <c r="E251" s="11">
        <f>F251+I251</f>
        <v>4182800</v>
      </c>
      <c r="F251" s="12">
        <f>4182600+200</f>
        <v>4182800</v>
      </c>
      <c r="G251" s="12">
        <v>3003900</v>
      </c>
      <c r="H251" s="12">
        <f>307800+200</f>
        <v>308000</v>
      </c>
      <c r="I251" s="12"/>
      <c r="J251" s="11">
        <f t="shared" si="41"/>
        <v>42400</v>
      </c>
      <c r="K251" s="12"/>
      <c r="L251" s="12">
        <v>42400</v>
      </c>
      <c r="M251" s="12">
        <v>4600</v>
      </c>
      <c r="N251" s="12"/>
      <c r="O251" s="12">
        <f t="shared" si="42"/>
        <v>0</v>
      </c>
      <c r="P251" s="13">
        <f t="shared" si="35"/>
        <v>4225200</v>
      </c>
    </row>
    <row r="252" spans="1:18" ht="25.5" x14ac:dyDescent="0.2">
      <c r="A252" s="41" t="s">
        <v>285</v>
      </c>
      <c r="B252" s="20" t="s">
        <v>52</v>
      </c>
      <c r="C252" s="20" t="s">
        <v>65</v>
      </c>
      <c r="D252" s="21" t="s">
        <v>284</v>
      </c>
      <c r="E252" s="11">
        <f t="shared" si="40"/>
        <v>10122100</v>
      </c>
      <c r="F252" s="12">
        <f>10030100+42000+50000</f>
        <v>10122100</v>
      </c>
      <c r="G252" s="12">
        <v>6344600</v>
      </c>
      <c r="H252" s="12">
        <f>2080200+18400</f>
        <v>2098600</v>
      </c>
      <c r="I252" s="12"/>
      <c r="J252" s="11">
        <f t="shared" si="41"/>
        <v>3862000</v>
      </c>
      <c r="K252" s="12">
        <f>2989300+10700</f>
        <v>3000000</v>
      </c>
      <c r="L252" s="12">
        <v>862000</v>
      </c>
      <c r="M252" s="12">
        <v>145000</v>
      </c>
      <c r="N252" s="12"/>
      <c r="O252" s="12">
        <f t="shared" si="42"/>
        <v>3000000</v>
      </c>
      <c r="P252" s="13">
        <f t="shared" si="35"/>
        <v>13984100</v>
      </c>
    </row>
    <row r="253" spans="1:18" hidden="1" x14ac:dyDescent="0.2">
      <c r="A253" s="41" t="s">
        <v>288</v>
      </c>
      <c r="B253" s="20" t="s">
        <v>287</v>
      </c>
      <c r="C253" s="20"/>
      <c r="D253" s="5" t="s">
        <v>286</v>
      </c>
      <c r="E253" s="11">
        <f t="shared" si="40"/>
        <v>0</v>
      </c>
      <c r="F253" s="12"/>
      <c r="G253" s="12"/>
      <c r="H253" s="12"/>
      <c r="I253" s="12">
        <f>I254+I255</f>
        <v>0</v>
      </c>
      <c r="J253" s="11">
        <f t="shared" si="41"/>
        <v>0</v>
      </c>
      <c r="K253" s="12"/>
      <c r="L253" s="12"/>
      <c r="M253" s="12"/>
      <c r="N253" s="12"/>
      <c r="O253" s="12">
        <f t="shared" si="42"/>
        <v>0</v>
      </c>
      <c r="P253" s="13">
        <f t="shared" si="35"/>
        <v>0</v>
      </c>
    </row>
    <row r="254" spans="1:18" x14ac:dyDescent="0.2">
      <c r="A254" s="41" t="s">
        <v>410</v>
      </c>
      <c r="B254" s="20" t="s">
        <v>408</v>
      </c>
      <c r="C254" s="20" t="s">
        <v>66</v>
      </c>
      <c r="D254" s="5" t="s">
        <v>412</v>
      </c>
      <c r="E254" s="11">
        <f t="shared" si="40"/>
        <v>2564100</v>
      </c>
      <c r="F254" s="12">
        <f>2594100-30000</f>
        <v>2564100</v>
      </c>
      <c r="G254" s="12">
        <v>1959500</v>
      </c>
      <c r="H254" s="12"/>
      <c r="I254" s="12"/>
      <c r="J254" s="11">
        <f t="shared" si="41"/>
        <v>97300</v>
      </c>
      <c r="K254" s="12">
        <f>67300+30000</f>
        <v>97300</v>
      </c>
      <c r="L254" s="12"/>
      <c r="M254" s="12"/>
      <c r="N254" s="12"/>
      <c r="O254" s="12">
        <f t="shared" si="42"/>
        <v>97300</v>
      </c>
      <c r="P254" s="13">
        <f t="shared" si="35"/>
        <v>2661400</v>
      </c>
    </row>
    <row r="255" spans="1:18" x14ac:dyDescent="0.2">
      <c r="A255" s="41" t="s">
        <v>411</v>
      </c>
      <c r="B255" s="20" t="s">
        <v>409</v>
      </c>
      <c r="C255" s="20" t="s">
        <v>66</v>
      </c>
      <c r="D255" s="5" t="s">
        <v>413</v>
      </c>
      <c r="E255" s="11">
        <f t="shared" si="40"/>
        <v>3190000</v>
      </c>
      <c r="F255" s="12">
        <v>3190000</v>
      </c>
      <c r="G255" s="12"/>
      <c r="H255" s="12"/>
      <c r="I255" s="12"/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3190000</v>
      </c>
    </row>
    <row r="256" spans="1:18" ht="16.149999999999999" customHeight="1" x14ac:dyDescent="0.2">
      <c r="A256" s="62">
        <v>1100000</v>
      </c>
      <c r="B256" s="6"/>
      <c r="C256" s="83"/>
      <c r="D256" s="31" t="s">
        <v>603</v>
      </c>
      <c r="E256" s="25">
        <f>E257</f>
        <v>29264000</v>
      </c>
      <c r="F256" s="25">
        <f>F257</f>
        <v>29264000</v>
      </c>
      <c r="G256" s="25">
        <f>G257</f>
        <v>13935900</v>
      </c>
      <c r="H256" s="25">
        <f>H257</f>
        <v>1528800</v>
      </c>
      <c r="I256" s="25">
        <f>I257</f>
        <v>0</v>
      </c>
      <c r="J256" s="25">
        <f t="shared" ref="J256:P256" si="43">J257</f>
        <v>3268900</v>
      </c>
      <c r="K256" s="25">
        <f>K257</f>
        <v>2454200</v>
      </c>
      <c r="L256" s="25">
        <f t="shared" si="43"/>
        <v>814700</v>
      </c>
      <c r="M256" s="25">
        <f t="shared" si="43"/>
        <v>53800</v>
      </c>
      <c r="N256" s="25">
        <f t="shared" si="43"/>
        <v>137600</v>
      </c>
      <c r="O256" s="25">
        <f t="shared" si="43"/>
        <v>2454200</v>
      </c>
      <c r="P256" s="25">
        <f t="shared" si="43"/>
        <v>32532900</v>
      </c>
      <c r="R256" s="34"/>
    </row>
    <row r="257" spans="1:16" ht="30" customHeight="1" x14ac:dyDescent="0.2">
      <c r="A257" s="41">
        <v>1110000</v>
      </c>
      <c r="B257" s="8"/>
      <c r="C257" s="83"/>
      <c r="D257" s="15" t="s">
        <v>603</v>
      </c>
      <c r="E257" s="25">
        <f>E258+E261+E262+E264+E266+E269+E271+E272</f>
        <v>29264000</v>
      </c>
      <c r="F257" s="25">
        <f>F258+F261+F262+F264+F266+F269+F271+F272</f>
        <v>29264000</v>
      </c>
      <c r="G257" s="25">
        <f>G258+G248+G261+G262+G264+G266+G269+G271+G272</f>
        <v>13935900</v>
      </c>
      <c r="H257" s="25">
        <f>H258+H248+H261+H262+H264+H266+H269+H271+H272</f>
        <v>1528800</v>
      </c>
      <c r="I257" s="25">
        <f>I258+I248+I261+I262+I264+I266+I269+I271+I272</f>
        <v>0</v>
      </c>
      <c r="J257" s="25">
        <f>J258+J266+J269+J272+J271</f>
        <v>3268900</v>
      </c>
      <c r="K257" s="25">
        <f>K258+K259+K260+K265+K268+K263+K270+K269+K272+K271</f>
        <v>2454200</v>
      </c>
      <c r="L257" s="25">
        <f>L258+L259+L260+L265+L268+L263+L270+L269</f>
        <v>814700</v>
      </c>
      <c r="M257" s="25">
        <f>M258+M259+M260+M265+M268+M263+M270+M269</f>
        <v>53800</v>
      </c>
      <c r="N257" s="25">
        <f>N258+N259+N260+N265+N268+N263+N270+N269</f>
        <v>137600</v>
      </c>
      <c r="O257" s="25">
        <f>O258+O259+O260+O265+O268+O263+O270+O269</f>
        <v>2454200</v>
      </c>
      <c r="P257" s="25">
        <f>P258+P261+P262+P264+P266+P269+P271+P272</f>
        <v>32532900</v>
      </c>
    </row>
    <row r="258" spans="1:16" ht="25.5" x14ac:dyDescent="0.2">
      <c r="A258" s="41" t="s">
        <v>289</v>
      </c>
      <c r="B258" s="4" t="s">
        <v>187</v>
      </c>
      <c r="C258" s="26" t="s">
        <v>115</v>
      </c>
      <c r="D258" s="14" t="s">
        <v>604</v>
      </c>
      <c r="E258" s="11">
        <f t="shared" ref="E258:E272" si="44">F258+I258</f>
        <v>2609200</v>
      </c>
      <c r="F258" s="12">
        <f>3571700-824200-138300</f>
        <v>2609200</v>
      </c>
      <c r="G258" s="12">
        <f>2600000-675600</f>
        <v>1924400</v>
      </c>
      <c r="H258" s="12"/>
      <c r="I258" s="12"/>
      <c r="J258" s="11">
        <f>L258+O258</f>
        <v>0</v>
      </c>
      <c r="K258" s="12"/>
      <c r="L258" s="12"/>
      <c r="M258" s="12"/>
      <c r="N258" s="12"/>
      <c r="O258" s="12">
        <f t="shared" ref="O258:O269" si="45">K258</f>
        <v>0</v>
      </c>
      <c r="P258" s="13">
        <f t="shared" ref="P258:P274" si="46">E258+J258</f>
        <v>2609200</v>
      </c>
    </row>
    <row r="259" spans="1:16" hidden="1" x14ac:dyDescent="0.2">
      <c r="A259" s="41" t="s">
        <v>290</v>
      </c>
      <c r="B259" s="20" t="s">
        <v>148</v>
      </c>
      <c r="C259" s="27"/>
      <c r="D259" s="23" t="s">
        <v>142</v>
      </c>
      <c r="E259" s="11">
        <f t="shared" si="44"/>
        <v>0</v>
      </c>
      <c r="F259" s="12"/>
      <c r="G259" s="12"/>
      <c r="H259" s="12"/>
      <c r="I259" s="12"/>
      <c r="J259" s="11">
        <f t="shared" ref="J259:J272" si="47">L259+O259</f>
        <v>0</v>
      </c>
      <c r="K259" s="12"/>
      <c r="L259" s="12"/>
      <c r="M259" s="12"/>
      <c r="N259" s="12"/>
      <c r="O259" s="12">
        <f t="shared" si="45"/>
        <v>0</v>
      </c>
      <c r="P259" s="13">
        <f t="shared" si="46"/>
        <v>0</v>
      </c>
    </row>
    <row r="260" spans="1:16" ht="15.75" hidden="1" customHeight="1" x14ac:dyDescent="0.2">
      <c r="A260" s="41">
        <v>1115010</v>
      </c>
      <c r="B260" s="20" t="s">
        <v>143</v>
      </c>
      <c r="C260" s="27"/>
      <c r="D260" s="21" t="s">
        <v>17</v>
      </c>
      <c r="E260" s="11">
        <f t="shared" si="44"/>
        <v>0</v>
      </c>
      <c r="F260" s="12"/>
      <c r="G260" s="12"/>
      <c r="H260" s="12"/>
      <c r="I260" s="12">
        <f>SUM(I261:I262)</f>
        <v>0</v>
      </c>
      <c r="J260" s="11">
        <f t="shared" si="47"/>
        <v>0</v>
      </c>
      <c r="K260" s="12">
        <f>SUM(K261:K262)</f>
        <v>0</v>
      </c>
      <c r="L260" s="12">
        <f>SUM(L261:L262)</f>
        <v>0</v>
      </c>
      <c r="M260" s="12">
        <f>SUM(M261:M262)</f>
        <v>0</v>
      </c>
      <c r="N260" s="12">
        <f>SUM(N261:N262)</f>
        <v>0</v>
      </c>
      <c r="O260" s="12">
        <f t="shared" si="45"/>
        <v>0</v>
      </c>
      <c r="P260" s="13">
        <f t="shared" si="46"/>
        <v>0</v>
      </c>
    </row>
    <row r="261" spans="1:16" ht="15.75" customHeight="1" x14ac:dyDescent="0.2">
      <c r="A261" s="41">
        <v>1115011</v>
      </c>
      <c r="B261" s="20" t="s">
        <v>31</v>
      </c>
      <c r="C261" s="27" t="s">
        <v>1</v>
      </c>
      <c r="D261" s="5" t="s">
        <v>86</v>
      </c>
      <c r="E261" s="11">
        <f t="shared" si="44"/>
        <v>1250000</v>
      </c>
      <c r="F261" s="12">
        <f>120000+1130000</f>
        <v>1250000</v>
      </c>
      <c r="G261" s="12"/>
      <c r="H261" s="12"/>
      <c r="I261" s="12"/>
      <c r="J261" s="11">
        <f t="shared" si="47"/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1250000</v>
      </c>
    </row>
    <row r="262" spans="1:16" ht="19.5" customHeight="1" x14ac:dyDescent="0.2">
      <c r="A262" s="41">
        <v>1115012</v>
      </c>
      <c r="B262" s="20" t="s">
        <v>11</v>
      </c>
      <c r="C262" s="27" t="s">
        <v>1</v>
      </c>
      <c r="D262" s="23" t="s">
        <v>10</v>
      </c>
      <c r="E262" s="11">
        <f t="shared" si="44"/>
        <v>836000</v>
      </c>
      <c r="F262" s="12">
        <f>76000+760000</f>
        <v>836000</v>
      </c>
      <c r="G262" s="12"/>
      <c r="H262" s="12"/>
      <c r="I262" s="12"/>
      <c r="J262" s="11">
        <f t="shared" si="47"/>
        <v>0</v>
      </c>
      <c r="K262" s="12"/>
      <c r="L262" s="12"/>
      <c r="M262" s="12"/>
      <c r="N262" s="12"/>
      <c r="O262" s="12">
        <f t="shared" si="45"/>
        <v>0</v>
      </c>
      <c r="P262" s="13">
        <f t="shared" si="46"/>
        <v>836000</v>
      </c>
    </row>
    <row r="263" spans="1:16" ht="15.75" hidden="1" customHeight="1" x14ac:dyDescent="0.2">
      <c r="A263" s="41" t="s">
        <v>377</v>
      </c>
      <c r="B263" s="20" t="s">
        <v>378</v>
      </c>
      <c r="C263" s="27"/>
      <c r="D263" s="23" t="s">
        <v>422</v>
      </c>
      <c r="E263" s="11">
        <f t="shared" si="44"/>
        <v>0</v>
      </c>
      <c r="F263" s="12"/>
      <c r="G263" s="12"/>
      <c r="H263" s="12"/>
      <c r="I263" s="12">
        <f>I264</f>
        <v>0</v>
      </c>
      <c r="J263" s="11">
        <f t="shared" si="47"/>
        <v>0</v>
      </c>
      <c r="K263" s="12">
        <f>K264</f>
        <v>0</v>
      </c>
      <c r="L263" s="12">
        <f>L264</f>
        <v>0</v>
      </c>
      <c r="M263" s="12">
        <f>M264</f>
        <v>0</v>
      </c>
      <c r="N263" s="12">
        <f>N264</f>
        <v>0</v>
      </c>
      <c r="O263" s="12">
        <f t="shared" si="45"/>
        <v>0</v>
      </c>
      <c r="P263" s="13">
        <f t="shared" si="46"/>
        <v>0</v>
      </c>
    </row>
    <row r="264" spans="1:16" ht="26.25" customHeight="1" x14ac:dyDescent="0.2">
      <c r="A264" s="41" t="s">
        <v>380</v>
      </c>
      <c r="B264" s="20" t="s">
        <v>379</v>
      </c>
      <c r="C264" s="27" t="s">
        <v>1</v>
      </c>
      <c r="D264" s="23" t="s">
        <v>423</v>
      </c>
      <c r="E264" s="11">
        <f t="shared" si="44"/>
        <v>54000</v>
      </c>
      <c r="F264" s="12">
        <f>44000+10000</f>
        <v>54000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54000</v>
      </c>
    </row>
    <row r="265" spans="1:16" hidden="1" x14ac:dyDescent="0.2">
      <c r="A265" s="41">
        <v>1115030</v>
      </c>
      <c r="B265" s="20" t="s">
        <v>144</v>
      </c>
      <c r="C265" s="27"/>
      <c r="D265" s="5" t="s">
        <v>136</v>
      </c>
      <c r="E265" s="11">
        <f t="shared" si="44"/>
        <v>0</v>
      </c>
      <c r="F265" s="12"/>
      <c r="G265" s="12"/>
      <c r="H265" s="12"/>
      <c r="I265" s="12">
        <f t="shared" ref="I265:N265" si="48">SUM(I266)</f>
        <v>0</v>
      </c>
      <c r="J265" s="11">
        <f t="shared" si="47"/>
        <v>1945300</v>
      </c>
      <c r="K265" s="12">
        <f>SUM(K266)</f>
        <v>1200000</v>
      </c>
      <c r="L265" s="12">
        <f t="shared" si="48"/>
        <v>745300</v>
      </c>
      <c r="M265" s="12">
        <f t="shared" si="48"/>
        <v>43700</v>
      </c>
      <c r="N265" s="12">
        <f t="shared" si="48"/>
        <v>119100</v>
      </c>
      <c r="O265" s="12">
        <f t="shared" si="45"/>
        <v>1200000</v>
      </c>
      <c r="P265" s="13">
        <f t="shared" si="46"/>
        <v>1945300</v>
      </c>
    </row>
    <row r="266" spans="1:16" ht="25.5" x14ac:dyDescent="0.2">
      <c r="A266" s="41">
        <v>1115031</v>
      </c>
      <c r="B266" s="20" t="s">
        <v>137</v>
      </c>
      <c r="C266" s="27" t="s">
        <v>1</v>
      </c>
      <c r="D266" s="5" t="s">
        <v>87</v>
      </c>
      <c r="E266" s="11">
        <f t="shared" si="44"/>
        <v>15062500</v>
      </c>
      <c r="F266" s="12">
        <f>14062500+1000000</f>
        <v>15062500</v>
      </c>
      <c r="G266" s="12">
        <f>9892200+820000</f>
        <v>10712200</v>
      </c>
      <c r="H266" s="12">
        <f>1407000+43100</f>
        <v>1450100</v>
      </c>
      <c r="I266" s="12"/>
      <c r="J266" s="11">
        <f t="shared" si="47"/>
        <v>1945300</v>
      </c>
      <c r="K266" s="12">
        <f>1200000</f>
        <v>1200000</v>
      </c>
      <c r="L266" s="12">
        <v>745300</v>
      </c>
      <c r="M266" s="12">
        <v>43700</v>
      </c>
      <c r="N266" s="12">
        <v>119100</v>
      </c>
      <c r="O266" s="12">
        <f t="shared" si="45"/>
        <v>1200000</v>
      </c>
      <c r="P266" s="13">
        <f t="shared" si="46"/>
        <v>17007800</v>
      </c>
    </row>
    <row r="267" spans="1:16" s="1" customFormat="1" ht="18" hidden="1" customHeight="1" x14ac:dyDescent="0.2">
      <c r="A267" s="36"/>
      <c r="B267" s="22"/>
      <c r="C267" s="28"/>
      <c r="D267" s="35" t="s">
        <v>472</v>
      </c>
      <c r="E267" s="10"/>
      <c r="F267" s="17"/>
      <c r="G267" s="17"/>
      <c r="H267" s="17"/>
      <c r="I267" s="17"/>
      <c r="J267" s="10">
        <f>L267+O267</f>
        <v>0</v>
      </c>
      <c r="K267" s="17"/>
      <c r="L267" s="17"/>
      <c r="M267" s="17"/>
      <c r="N267" s="17"/>
      <c r="O267" s="17">
        <f>K267</f>
        <v>0</v>
      </c>
      <c r="P267" s="16">
        <f t="shared" si="46"/>
        <v>0</v>
      </c>
    </row>
    <row r="268" spans="1:16" ht="18.75" hidden="1" customHeight="1" x14ac:dyDescent="0.2">
      <c r="A268" s="41">
        <v>1115040</v>
      </c>
      <c r="B268" s="20" t="s">
        <v>138</v>
      </c>
      <c r="C268" s="27"/>
      <c r="D268" s="5" t="s">
        <v>139</v>
      </c>
      <c r="E268" s="11">
        <f>E269</f>
        <v>7415066</v>
      </c>
      <c r="F268" s="11"/>
      <c r="G268" s="11"/>
      <c r="H268" s="11"/>
      <c r="I268" s="11">
        <f>I269</f>
        <v>0</v>
      </c>
      <c r="J268" s="11">
        <f t="shared" si="47"/>
        <v>0</v>
      </c>
      <c r="K268" s="11"/>
      <c r="L268" s="11"/>
      <c r="M268" s="11"/>
      <c r="N268" s="11"/>
      <c r="O268" s="12">
        <f t="shared" si="45"/>
        <v>0</v>
      </c>
      <c r="P268" s="13">
        <f t="shared" si="46"/>
        <v>7415066</v>
      </c>
    </row>
    <row r="269" spans="1:16" ht="17.25" customHeight="1" x14ac:dyDescent="0.2">
      <c r="A269" s="41">
        <v>1115041</v>
      </c>
      <c r="B269" s="20" t="s">
        <v>140</v>
      </c>
      <c r="C269" s="27" t="s">
        <v>1</v>
      </c>
      <c r="D269" s="5" t="s">
        <v>291</v>
      </c>
      <c r="E269" s="11">
        <f t="shared" si="44"/>
        <v>7415066</v>
      </c>
      <c r="F269" s="12">
        <f>7453400-38334</f>
        <v>7415066</v>
      </c>
      <c r="G269" s="12">
        <f>265100-30145</f>
        <v>234955</v>
      </c>
      <c r="H269" s="12">
        <f>485000-406300</f>
        <v>78700</v>
      </c>
      <c r="I269" s="12"/>
      <c r="J269" s="11">
        <f t="shared" si="47"/>
        <v>303400</v>
      </c>
      <c r="K269" s="12">
        <f>551400+37800-505200+150000</f>
        <v>234000</v>
      </c>
      <c r="L269" s="12">
        <v>69400</v>
      </c>
      <c r="M269" s="12">
        <v>10100</v>
      </c>
      <c r="N269" s="12">
        <v>18500</v>
      </c>
      <c r="O269" s="12">
        <f t="shared" si="45"/>
        <v>234000</v>
      </c>
      <c r="P269" s="13">
        <f t="shared" si="46"/>
        <v>7718466</v>
      </c>
    </row>
    <row r="270" spans="1:16" ht="12.75" hidden="1" customHeight="1" x14ac:dyDescent="0.2">
      <c r="A270" s="41" t="s">
        <v>445</v>
      </c>
      <c r="B270" s="20" t="s">
        <v>447</v>
      </c>
      <c r="C270" s="27"/>
      <c r="D270" s="5" t="s">
        <v>446</v>
      </c>
      <c r="E270" s="11">
        <f>E271+E272</f>
        <v>2037234</v>
      </c>
      <c r="F270" s="11"/>
      <c r="G270" s="11"/>
      <c r="H270" s="11"/>
      <c r="I270" s="11">
        <f t="shared" ref="I270:O270" si="49">I271+I272</f>
        <v>0</v>
      </c>
      <c r="J270" s="11">
        <f t="shared" si="49"/>
        <v>1020200</v>
      </c>
      <c r="K270" s="11"/>
      <c r="L270" s="11"/>
      <c r="M270" s="11"/>
      <c r="N270" s="11"/>
      <c r="O270" s="11">
        <f t="shared" si="49"/>
        <v>1020200</v>
      </c>
      <c r="P270" s="13">
        <f t="shared" si="46"/>
        <v>3057434</v>
      </c>
    </row>
    <row r="271" spans="1:16" s="1" customFormat="1" ht="25.5" x14ac:dyDescent="0.2">
      <c r="A271" s="36" t="s">
        <v>656</v>
      </c>
      <c r="B271" s="22" t="s">
        <v>657</v>
      </c>
      <c r="C271" s="28" t="s">
        <v>1</v>
      </c>
      <c r="D271" s="5" t="s">
        <v>658</v>
      </c>
      <c r="E271" s="11">
        <f t="shared" si="44"/>
        <v>1039934</v>
      </c>
      <c r="F271" s="17">
        <v>1039934</v>
      </c>
      <c r="G271" s="17">
        <v>388345</v>
      </c>
      <c r="H271" s="17"/>
      <c r="I271" s="17"/>
      <c r="J271" s="11">
        <f t="shared" si="47"/>
        <v>355200</v>
      </c>
      <c r="K271" s="17">
        <v>355200</v>
      </c>
      <c r="L271" s="17"/>
      <c r="M271" s="17"/>
      <c r="N271" s="17"/>
      <c r="O271" s="12">
        <f>K271</f>
        <v>355200</v>
      </c>
      <c r="P271" s="16">
        <f t="shared" si="46"/>
        <v>1395134</v>
      </c>
    </row>
    <row r="272" spans="1:16" s="1" customFormat="1" ht="17.25" customHeight="1" x14ac:dyDescent="0.2">
      <c r="A272" s="36" t="s">
        <v>490</v>
      </c>
      <c r="B272" s="22" t="s">
        <v>491</v>
      </c>
      <c r="C272" s="28" t="s">
        <v>1</v>
      </c>
      <c r="D272" s="47" t="s">
        <v>492</v>
      </c>
      <c r="E272" s="11">
        <f t="shared" si="44"/>
        <v>997300</v>
      </c>
      <c r="F272" s="17">
        <f>1998900-1001600</f>
        <v>997300</v>
      </c>
      <c r="G272" s="17">
        <f>1076000-400000</f>
        <v>676000</v>
      </c>
      <c r="H272" s="17"/>
      <c r="I272" s="17"/>
      <c r="J272" s="11">
        <f t="shared" si="47"/>
        <v>665000</v>
      </c>
      <c r="K272" s="17">
        <f>1020200-355200</f>
        <v>665000</v>
      </c>
      <c r="L272" s="17"/>
      <c r="M272" s="17"/>
      <c r="N272" s="17"/>
      <c r="O272" s="12">
        <f>K272</f>
        <v>665000</v>
      </c>
      <c r="P272" s="16">
        <f t="shared" si="46"/>
        <v>1662300</v>
      </c>
    </row>
    <row r="273" spans="1:18" ht="25.5" x14ac:dyDescent="0.2">
      <c r="A273" s="62">
        <v>1200000</v>
      </c>
      <c r="B273" s="6"/>
      <c r="C273" s="7"/>
      <c r="D273" s="31" t="s">
        <v>67</v>
      </c>
      <c r="E273" s="25">
        <f>E275</f>
        <v>3700700</v>
      </c>
      <c r="F273" s="25">
        <f t="shared" ref="F273:O273" si="50">F275</f>
        <v>3700700</v>
      </c>
      <c r="G273" s="25">
        <f t="shared" si="50"/>
        <v>2580000</v>
      </c>
      <c r="H273" s="25">
        <f t="shared" si="50"/>
        <v>101000</v>
      </c>
      <c r="I273" s="25">
        <f t="shared" si="50"/>
        <v>0</v>
      </c>
      <c r="J273" s="25">
        <f t="shared" si="50"/>
        <v>150000</v>
      </c>
      <c r="K273" s="25">
        <f t="shared" si="50"/>
        <v>150000</v>
      </c>
      <c r="L273" s="25">
        <f t="shared" si="50"/>
        <v>0</v>
      </c>
      <c r="M273" s="25">
        <f t="shared" si="50"/>
        <v>0</v>
      </c>
      <c r="N273" s="25">
        <f t="shared" si="50"/>
        <v>0</v>
      </c>
      <c r="O273" s="25">
        <f t="shared" si="50"/>
        <v>150000</v>
      </c>
      <c r="P273" s="13">
        <f t="shared" si="46"/>
        <v>3850700</v>
      </c>
      <c r="R273" s="34"/>
    </row>
    <row r="274" spans="1:18" s="1" customFormat="1" hidden="1" x14ac:dyDescent="0.2">
      <c r="A274" s="36"/>
      <c r="B274" s="18"/>
      <c r="C274" s="3"/>
      <c r="D274" s="15" t="s">
        <v>472</v>
      </c>
      <c r="E274" s="25">
        <f>F274+I274</f>
        <v>0</v>
      </c>
      <c r="F274" s="17">
        <f>F289+F297</f>
        <v>0</v>
      </c>
      <c r="G274" s="17"/>
      <c r="H274" s="17"/>
      <c r="I274" s="17"/>
      <c r="J274" s="17">
        <f>K274+L274</f>
        <v>0</v>
      </c>
      <c r="K274" s="17">
        <f>K280+K285</f>
        <v>0</v>
      </c>
      <c r="L274" s="17"/>
      <c r="M274" s="17"/>
      <c r="N274" s="17"/>
      <c r="O274" s="17">
        <f>K274</f>
        <v>0</v>
      </c>
      <c r="P274" s="16">
        <f t="shared" si="46"/>
        <v>0</v>
      </c>
    </row>
    <row r="275" spans="1:18" ht="25.5" x14ac:dyDescent="0.2">
      <c r="A275" s="41" t="s">
        <v>292</v>
      </c>
      <c r="B275" s="8"/>
      <c r="C275" s="7"/>
      <c r="D275" s="15" t="s">
        <v>105</v>
      </c>
      <c r="E275" s="25">
        <f>E276+E277+E278+E287+E288+E332+E284+E294+E363+E299+E300+E364+E291+E290+E301+E286+E302+E295+E281</f>
        <v>3700700</v>
      </c>
      <c r="F275" s="40">
        <f>F276+F277+F278+F287+F288+F332+F284+F294+F363+F299+F300+F364+F291+F290+F301+F286+F302+F295+F281</f>
        <v>3700700</v>
      </c>
      <c r="G275" s="25">
        <f>G276+G277+G278+G287+G288+G332+G284+G294+G363+G299+G300+G364+G291+G290+G301+G286+G302+G295</f>
        <v>2580000</v>
      </c>
      <c r="H275" s="25">
        <f>H276+H277+H278+H287+H288+H332+H284+H294+H363+H299+H300+H364+H291+H290+H301+H286+H302+H295</f>
        <v>101000</v>
      </c>
      <c r="I275" s="25">
        <f>I276+I277+I278+I287+I288+I332+I284+I294+I363+I299+I300+I364+I291+I290+I301+I286+I302+I295</f>
        <v>0</v>
      </c>
      <c r="J275" s="25">
        <f>J276</f>
        <v>150000</v>
      </c>
      <c r="K275" s="29">
        <f>K276</f>
        <v>150000</v>
      </c>
      <c r="L275" s="25">
        <f>L276+L277+L278+L287+L288+L332+L284+L294+L363+L299+L300+L364+L291+L290+L286+L328+L279+L293</f>
        <v>0</v>
      </c>
      <c r="M275" s="25">
        <f>M276+M277+M278+M287+M288+M332+M284+M294+M363+M299+M300+M364+M291+M290+M286+M328+M279+M293</f>
        <v>0</v>
      </c>
      <c r="N275" s="25">
        <f>N276+N277+N278+N287+N288+N332+N284+N294+N363+N299+N300+N364+N291+N290+N286+N328+N279+N293</f>
        <v>0</v>
      </c>
      <c r="O275" s="29">
        <f>O276</f>
        <v>150000</v>
      </c>
      <c r="P275" s="25">
        <f>P276</f>
        <v>3850700</v>
      </c>
    </row>
    <row r="276" spans="1:18" ht="25.5" x14ac:dyDescent="0.2">
      <c r="A276" s="41" t="s">
        <v>293</v>
      </c>
      <c r="B276" s="4" t="s">
        <v>187</v>
      </c>
      <c r="C276" s="4" t="s">
        <v>115</v>
      </c>
      <c r="D276" s="14" t="s">
        <v>604</v>
      </c>
      <c r="E276" s="11">
        <f t="shared" ref="E276:E298" si="51">F276+I276</f>
        <v>3700700</v>
      </c>
      <c r="F276" s="12">
        <f>5700700-2000000</f>
        <v>3700700</v>
      </c>
      <c r="G276" s="12">
        <f>4280000-1700000</f>
        <v>2580000</v>
      </c>
      <c r="H276" s="12">
        <v>101000</v>
      </c>
      <c r="I276" s="12"/>
      <c r="J276" s="11">
        <f>L276+O276</f>
        <v>150000</v>
      </c>
      <c r="K276" s="12">
        <v>150000</v>
      </c>
      <c r="L276" s="12"/>
      <c r="M276" s="12"/>
      <c r="N276" s="12"/>
      <c r="O276" s="12">
        <f t="shared" ref="O276:O300" si="52">K276</f>
        <v>150000</v>
      </c>
      <c r="P276" s="13">
        <f t="shared" ref="P276:P291" si="53">E276+J276</f>
        <v>3850700</v>
      </c>
    </row>
    <row r="277" spans="1:18" ht="25.5" hidden="1" x14ac:dyDescent="0.2">
      <c r="A277" s="41">
        <v>4016010</v>
      </c>
      <c r="B277" s="4" t="s">
        <v>53</v>
      </c>
      <c r="C277" s="4" t="s">
        <v>118</v>
      </c>
      <c r="D277" s="75" t="s">
        <v>74</v>
      </c>
      <c r="E277" s="11">
        <f t="shared" si="51"/>
        <v>0</v>
      </c>
      <c r="F277" s="12"/>
      <c r="G277" s="12"/>
      <c r="H277" s="12"/>
      <c r="I277" s="12"/>
      <c r="J277" s="11">
        <f t="shared" ref="J277:J298" si="54">L277+O277</f>
        <v>0</v>
      </c>
      <c r="K277" s="12"/>
      <c r="L277" s="12"/>
      <c r="M277" s="12"/>
      <c r="N277" s="12"/>
      <c r="O277" s="12">
        <f t="shared" si="52"/>
        <v>0</v>
      </c>
      <c r="P277" s="13">
        <f t="shared" si="53"/>
        <v>0</v>
      </c>
    </row>
    <row r="278" spans="1:18" hidden="1" x14ac:dyDescent="0.2">
      <c r="A278" s="41" t="s">
        <v>295</v>
      </c>
      <c r="B278" s="4" t="s">
        <v>53</v>
      </c>
      <c r="C278" s="4"/>
      <c r="D278" s="84" t="s">
        <v>294</v>
      </c>
      <c r="E278" s="11">
        <f t="shared" si="51"/>
        <v>0</v>
      </c>
      <c r="F278" s="11"/>
      <c r="G278" s="11"/>
      <c r="H278" s="11"/>
      <c r="I278" s="11">
        <f>I279+I282+I283+I281+I328</f>
        <v>0</v>
      </c>
      <c r="J278" s="11">
        <f t="shared" si="54"/>
        <v>0</v>
      </c>
      <c r="K278" s="11"/>
      <c r="L278" s="11"/>
      <c r="M278" s="11"/>
      <c r="N278" s="11">
        <f>N279+N282+N283+N281+N328</f>
        <v>0</v>
      </c>
      <c r="O278" s="12">
        <f t="shared" si="52"/>
        <v>0</v>
      </c>
      <c r="P278" s="13">
        <f t="shared" si="53"/>
        <v>0</v>
      </c>
    </row>
    <row r="279" spans="1:18" s="1" customFormat="1" hidden="1" x14ac:dyDescent="0.2">
      <c r="A279" s="36" t="s">
        <v>298</v>
      </c>
      <c r="B279" s="3" t="s">
        <v>297</v>
      </c>
      <c r="C279" s="3" t="s">
        <v>118</v>
      </c>
      <c r="D279" s="19" t="s">
        <v>296</v>
      </c>
      <c r="E279" s="10">
        <f t="shared" si="51"/>
        <v>0</v>
      </c>
      <c r="F279" s="17"/>
      <c r="G279" s="17"/>
      <c r="H279" s="17"/>
      <c r="I279" s="17"/>
      <c r="J279" s="11">
        <f t="shared" si="54"/>
        <v>0</v>
      </c>
      <c r="K279" s="17"/>
      <c r="L279" s="17"/>
      <c r="M279" s="17"/>
      <c r="N279" s="17"/>
      <c r="O279" s="12">
        <f t="shared" si="52"/>
        <v>0</v>
      </c>
      <c r="P279" s="13">
        <f t="shared" si="53"/>
        <v>0</v>
      </c>
    </row>
    <row r="280" spans="1:18" s="1" customFormat="1" hidden="1" x14ac:dyDescent="0.2">
      <c r="A280" s="36"/>
      <c r="B280" s="3"/>
      <c r="C280" s="3"/>
      <c r="D280" s="15" t="s">
        <v>472</v>
      </c>
      <c r="E280" s="10"/>
      <c r="F280" s="17"/>
      <c r="G280" s="17"/>
      <c r="H280" s="17"/>
      <c r="I280" s="17"/>
      <c r="J280" s="11">
        <f t="shared" si="54"/>
        <v>0</v>
      </c>
      <c r="K280" s="17"/>
      <c r="L280" s="17"/>
      <c r="M280" s="17"/>
      <c r="N280" s="17"/>
      <c r="O280" s="12">
        <f t="shared" si="52"/>
        <v>0</v>
      </c>
      <c r="P280" s="13">
        <f t="shared" si="53"/>
        <v>0</v>
      </c>
    </row>
    <row r="281" spans="1:18" hidden="1" x14ac:dyDescent="0.2">
      <c r="A281" s="41" t="s">
        <v>452</v>
      </c>
      <c r="B281" s="4" t="s">
        <v>453</v>
      </c>
      <c r="C281" s="4" t="s">
        <v>68</v>
      </c>
      <c r="D281" s="21" t="s">
        <v>454</v>
      </c>
      <c r="E281" s="11">
        <f t="shared" si="51"/>
        <v>0</v>
      </c>
      <c r="F281" s="12"/>
      <c r="G281" s="12"/>
      <c r="H281" s="12"/>
      <c r="I281" s="12"/>
      <c r="J281" s="11">
        <f t="shared" si="54"/>
        <v>0</v>
      </c>
      <c r="K281" s="12"/>
      <c r="L281" s="12"/>
      <c r="M281" s="12"/>
      <c r="N281" s="12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 t="s">
        <v>300</v>
      </c>
      <c r="B282" s="3" t="s">
        <v>299</v>
      </c>
      <c r="C282" s="3" t="s">
        <v>68</v>
      </c>
      <c r="D282" s="19" t="s">
        <v>301</v>
      </c>
      <c r="E282" s="10">
        <f t="shared" si="51"/>
        <v>0</v>
      </c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s="1" customFormat="1" ht="25.5" hidden="1" x14ac:dyDescent="0.2">
      <c r="A283" s="36" t="s">
        <v>305</v>
      </c>
      <c r="B283" s="3" t="s">
        <v>306</v>
      </c>
      <c r="C283" s="3" t="s">
        <v>68</v>
      </c>
      <c r="D283" s="19" t="s">
        <v>159</v>
      </c>
      <c r="E283" s="10">
        <f t="shared" si="51"/>
        <v>0</v>
      </c>
      <c r="F283" s="17"/>
      <c r="G283" s="17"/>
      <c r="H283" s="17"/>
      <c r="I283" s="17"/>
      <c r="J283" s="11">
        <f t="shared" si="54"/>
        <v>0</v>
      </c>
      <c r="K283" s="17"/>
      <c r="L283" s="17"/>
      <c r="M283" s="17"/>
      <c r="N283" s="17"/>
      <c r="O283" s="12">
        <f t="shared" si="52"/>
        <v>0</v>
      </c>
      <c r="P283" s="13">
        <f t="shared" si="53"/>
        <v>0</v>
      </c>
    </row>
    <row r="284" spans="1:18" ht="29.25" hidden="1" customHeight="1" x14ac:dyDescent="0.2">
      <c r="A284" s="41" t="s">
        <v>310</v>
      </c>
      <c r="B284" s="85">
        <v>6020</v>
      </c>
      <c r="C284" s="4" t="s">
        <v>68</v>
      </c>
      <c r="D284" s="5" t="s">
        <v>309</v>
      </c>
      <c r="E284" s="10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>K284</f>
        <v>0</v>
      </c>
      <c r="P284" s="13">
        <f>E284+J284</f>
        <v>0</v>
      </c>
    </row>
    <row r="285" spans="1:18" s="1" customFormat="1" hidden="1" x14ac:dyDescent="0.2">
      <c r="A285" s="36"/>
      <c r="B285" s="86"/>
      <c r="C285" s="3"/>
      <c r="D285" s="15" t="s">
        <v>472</v>
      </c>
      <c r="E285" s="10">
        <f t="shared" si="51"/>
        <v>0</v>
      </c>
      <c r="F285" s="17"/>
      <c r="G285" s="17"/>
      <c r="H285" s="17"/>
      <c r="I285" s="17"/>
      <c r="J285" s="10">
        <f t="shared" si="54"/>
        <v>0</v>
      </c>
      <c r="K285" s="17"/>
      <c r="L285" s="17"/>
      <c r="M285" s="17"/>
      <c r="N285" s="17"/>
      <c r="O285" s="17">
        <f>K285</f>
        <v>0</v>
      </c>
      <c r="P285" s="16">
        <f>E285+J285</f>
        <v>0</v>
      </c>
    </row>
    <row r="286" spans="1:18" ht="25.5" hidden="1" x14ac:dyDescent="0.2">
      <c r="A286" s="41" t="s">
        <v>310</v>
      </c>
      <c r="B286" s="85">
        <v>6020</v>
      </c>
      <c r="C286" s="4" t="s">
        <v>68</v>
      </c>
      <c r="D286" s="15" t="s">
        <v>309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ht="15" hidden="1" customHeight="1" x14ac:dyDescent="0.2">
      <c r="A287" s="41" t="s">
        <v>304</v>
      </c>
      <c r="B287" s="4" t="s">
        <v>303</v>
      </c>
      <c r="C287" s="4" t="s">
        <v>68</v>
      </c>
      <c r="D287" s="21" t="s">
        <v>302</v>
      </c>
      <c r="E287" s="11">
        <f t="shared" si="51"/>
        <v>0</v>
      </c>
      <c r="F287" s="87"/>
      <c r="G287" s="87"/>
      <c r="H287" s="87"/>
      <c r="I287" s="30"/>
      <c r="J287" s="11">
        <f t="shared" si="54"/>
        <v>0</v>
      </c>
      <c r="K287" s="30"/>
      <c r="L287" s="30"/>
      <c r="M287" s="30"/>
      <c r="N287" s="30"/>
      <c r="O287" s="30">
        <f>K287</f>
        <v>0</v>
      </c>
      <c r="P287" s="13">
        <f t="shared" si="53"/>
        <v>0</v>
      </c>
    </row>
    <row r="288" spans="1:18" ht="29.25" hidden="1" customHeight="1" x14ac:dyDescent="0.2">
      <c r="A288" s="41">
        <v>4016100</v>
      </c>
      <c r="B288" s="81" t="s">
        <v>158</v>
      </c>
      <c r="C288" s="81" t="s">
        <v>68</v>
      </c>
      <c r="D288" s="23" t="s">
        <v>159</v>
      </c>
      <c r="E288" s="11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 t="shared" si="53"/>
        <v>0</v>
      </c>
    </row>
    <row r="289" spans="1:18" hidden="1" x14ac:dyDescent="0.2">
      <c r="A289" s="41"/>
      <c r="B289" s="81"/>
      <c r="C289" s="81"/>
      <c r="D289" s="15" t="s">
        <v>472</v>
      </c>
      <c r="E289" s="10">
        <f t="shared" si="51"/>
        <v>0</v>
      </c>
      <c r="F289" s="17"/>
      <c r="G289" s="12"/>
      <c r="H289" s="12"/>
      <c r="I289" s="12"/>
      <c r="J289" s="11"/>
      <c r="K289" s="12"/>
      <c r="L289" s="12"/>
      <c r="M289" s="12"/>
      <c r="N289" s="12"/>
      <c r="O289" s="12"/>
      <c r="P289" s="16">
        <f t="shared" si="53"/>
        <v>0</v>
      </c>
    </row>
    <row r="290" spans="1:18" ht="15.75" hidden="1" x14ac:dyDescent="0.25">
      <c r="A290" s="41" t="s">
        <v>308</v>
      </c>
      <c r="B290" s="81" t="s">
        <v>307</v>
      </c>
      <c r="C290" s="81" t="s">
        <v>68</v>
      </c>
      <c r="D290" s="46" t="s">
        <v>163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3"/>
        <v>0</v>
      </c>
    </row>
    <row r="291" spans="1:18" hidden="1" x14ac:dyDescent="0.2">
      <c r="A291" s="41" t="s">
        <v>313</v>
      </c>
      <c r="B291" s="85">
        <v>6070</v>
      </c>
      <c r="C291" s="4"/>
      <c r="D291" s="23" t="s">
        <v>311</v>
      </c>
      <c r="E291" s="11">
        <f>F291+I291</f>
        <v>0</v>
      </c>
      <c r="F291" s="12"/>
      <c r="G291" s="12"/>
      <c r="H291" s="12"/>
      <c r="I291" s="12">
        <f>I292</f>
        <v>0</v>
      </c>
      <c r="J291" s="11">
        <f t="shared" si="54"/>
        <v>0</v>
      </c>
      <c r="K291" s="12"/>
      <c r="L291" s="12"/>
      <c r="M291" s="12"/>
      <c r="N291" s="12">
        <f>N292</f>
        <v>0</v>
      </c>
      <c r="O291" s="12">
        <f t="shared" si="52"/>
        <v>0</v>
      </c>
      <c r="P291" s="13">
        <f t="shared" si="53"/>
        <v>0</v>
      </c>
    </row>
    <row r="292" spans="1:18" s="1" customFormat="1" ht="114.75" hidden="1" x14ac:dyDescent="0.2">
      <c r="A292" s="36" t="s">
        <v>314</v>
      </c>
      <c r="B292" s="86">
        <v>6072</v>
      </c>
      <c r="C292" s="3" t="s">
        <v>160</v>
      </c>
      <c r="D292" s="69" t="s">
        <v>312</v>
      </c>
      <c r="E292" s="10">
        <f>F292+I292</f>
        <v>0</v>
      </c>
      <c r="F292" s="17"/>
      <c r="G292" s="17"/>
      <c r="H292" s="17"/>
      <c r="I292" s="17"/>
      <c r="J292" s="11">
        <f t="shared" si="54"/>
        <v>0</v>
      </c>
      <c r="K292" s="17"/>
      <c r="L292" s="17"/>
      <c r="M292" s="17"/>
      <c r="N292" s="17"/>
      <c r="O292" s="12">
        <f t="shared" si="52"/>
        <v>0</v>
      </c>
      <c r="P292" s="16"/>
    </row>
    <row r="293" spans="1:18" hidden="1" x14ac:dyDescent="0.2">
      <c r="A293" s="41" t="s">
        <v>575</v>
      </c>
      <c r="B293" s="81" t="s">
        <v>359</v>
      </c>
      <c r="C293" s="4" t="s">
        <v>360</v>
      </c>
      <c r="D293" s="14" t="s">
        <v>358</v>
      </c>
      <c r="E293" s="11"/>
      <c r="F293" s="12"/>
      <c r="G293" s="12"/>
      <c r="H293" s="12"/>
      <c r="I293" s="12"/>
      <c r="J293" s="11">
        <f t="shared" si="54"/>
        <v>0</v>
      </c>
      <c r="K293" s="12"/>
      <c r="L293" s="12"/>
      <c r="M293" s="12"/>
      <c r="N293" s="12"/>
      <c r="O293" s="12">
        <f>K293</f>
        <v>0</v>
      </c>
      <c r="P293" s="13">
        <f t="shared" ref="P293:P311" si="55">E293+J293</f>
        <v>0</v>
      </c>
    </row>
    <row r="294" spans="1:18" hidden="1" x14ac:dyDescent="0.2">
      <c r="A294" s="41" t="s">
        <v>317</v>
      </c>
      <c r="B294" s="8" t="s">
        <v>316</v>
      </c>
      <c r="C294" s="4"/>
      <c r="D294" s="21" t="s">
        <v>315</v>
      </c>
      <c r="E294" s="11">
        <f t="shared" si="51"/>
        <v>0</v>
      </c>
      <c r="F294" s="12"/>
      <c r="G294" s="12"/>
      <c r="H294" s="12"/>
      <c r="I294" s="12">
        <f>I295+I296+I298</f>
        <v>0</v>
      </c>
      <c r="J294" s="11">
        <f t="shared" si="54"/>
        <v>0</v>
      </c>
      <c r="K294" s="12"/>
      <c r="L294" s="12"/>
      <c r="M294" s="12"/>
      <c r="N294" s="12">
        <f>N295+N296+N298</f>
        <v>0</v>
      </c>
      <c r="O294" s="12">
        <f t="shared" si="52"/>
        <v>0</v>
      </c>
      <c r="P294" s="13">
        <f t="shared" si="55"/>
        <v>0</v>
      </c>
    </row>
    <row r="295" spans="1:18" ht="25.5" hidden="1" x14ac:dyDescent="0.2">
      <c r="A295" s="41" t="s">
        <v>320</v>
      </c>
      <c r="B295" s="88" t="s">
        <v>319</v>
      </c>
      <c r="C295" s="4" t="s">
        <v>69</v>
      </c>
      <c r="D295" s="21" t="s">
        <v>318</v>
      </c>
      <c r="E295" s="11">
        <f t="shared" si="51"/>
        <v>0</v>
      </c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 t="shared" si="52"/>
        <v>0</v>
      </c>
      <c r="P295" s="13">
        <f t="shared" si="55"/>
        <v>0</v>
      </c>
    </row>
    <row r="296" spans="1:18" s="1" customFormat="1" ht="25.5" hidden="1" x14ac:dyDescent="0.2">
      <c r="A296" s="36" t="s">
        <v>323</v>
      </c>
      <c r="B296" s="89" t="s">
        <v>322</v>
      </c>
      <c r="C296" s="22" t="s">
        <v>69</v>
      </c>
      <c r="D296" s="24" t="s">
        <v>321</v>
      </c>
      <c r="E296" s="10">
        <f t="shared" si="51"/>
        <v>0</v>
      </c>
      <c r="F296" s="17"/>
      <c r="G296" s="17"/>
      <c r="H296" s="17"/>
      <c r="I296" s="17"/>
      <c r="J296" s="11">
        <f t="shared" si="54"/>
        <v>0</v>
      </c>
      <c r="K296" s="17"/>
      <c r="L296" s="17"/>
      <c r="M296" s="17"/>
      <c r="N296" s="17"/>
      <c r="O296" s="12">
        <f t="shared" si="52"/>
        <v>0</v>
      </c>
      <c r="P296" s="13">
        <f t="shared" si="55"/>
        <v>0</v>
      </c>
    </row>
    <row r="297" spans="1:18" s="1" customFormat="1" hidden="1" x14ac:dyDescent="0.2">
      <c r="A297" s="36"/>
      <c r="B297" s="89"/>
      <c r="C297" s="22"/>
      <c r="D297" s="15" t="s">
        <v>472</v>
      </c>
      <c r="E297" s="10">
        <f t="shared" si="51"/>
        <v>0</v>
      </c>
      <c r="F297" s="17"/>
      <c r="G297" s="17"/>
      <c r="H297" s="17"/>
      <c r="I297" s="17"/>
      <c r="J297" s="11"/>
      <c r="K297" s="17"/>
      <c r="L297" s="17"/>
      <c r="M297" s="17"/>
      <c r="N297" s="17"/>
      <c r="O297" s="12"/>
      <c r="P297" s="13">
        <f t="shared" si="55"/>
        <v>0</v>
      </c>
    </row>
    <row r="298" spans="1:18" s="1" customFormat="1" ht="25.5" hidden="1" customHeight="1" x14ac:dyDescent="0.2">
      <c r="A298" s="36" t="s">
        <v>326</v>
      </c>
      <c r="B298" s="89" t="s">
        <v>325</v>
      </c>
      <c r="C298" s="22" t="s">
        <v>69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6">
        <f t="shared" si="55"/>
        <v>0</v>
      </c>
    </row>
    <row r="299" spans="1:18" hidden="1" x14ac:dyDescent="0.2">
      <c r="A299" s="41" t="s">
        <v>328</v>
      </c>
      <c r="B299" s="8" t="s">
        <v>175</v>
      </c>
      <c r="C299" s="4" t="s">
        <v>121</v>
      </c>
      <c r="D299" s="21" t="s">
        <v>327</v>
      </c>
      <c r="E299" s="11"/>
      <c r="F299" s="12"/>
      <c r="G299" s="12"/>
      <c r="H299" s="12"/>
      <c r="I299" s="12"/>
      <c r="J299" s="11">
        <f>L299+O299</f>
        <v>0</v>
      </c>
      <c r="K299" s="12"/>
      <c r="L299" s="12"/>
      <c r="M299" s="12"/>
      <c r="N299" s="12"/>
      <c r="O299" s="12">
        <f t="shared" si="52"/>
        <v>0</v>
      </c>
      <c r="P299" s="13">
        <f t="shared" si="55"/>
        <v>0</v>
      </c>
    </row>
    <row r="300" spans="1:18" hidden="1" x14ac:dyDescent="0.2">
      <c r="A300" s="41" t="s">
        <v>331</v>
      </c>
      <c r="B300" s="8" t="s">
        <v>330</v>
      </c>
      <c r="C300" s="4" t="s">
        <v>160</v>
      </c>
      <c r="D300" s="5" t="s">
        <v>329</v>
      </c>
      <c r="E300" s="11"/>
      <c r="F300" s="30"/>
      <c r="G300" s="30"/>
      <c r="H300" s="30"/>
      <c r="I300" s="30"/>
      <c r="J300" s="11">
        <f>L300+O300</f>
        <v>0</v>
      </c>
      <c r="K300" s="30"/>
      <c r="L300" s="30"/>
      <c r="M300" s="30"/>
      <c r="N300" s="30"/>
      <c r="O300" s="12">
        <f t="shared" si="52"/>
        <v>0</v>
      </c>
      <c r="P300" s="13">
        <f t="shared" si="55"/>
        <v>0</v>
      </c>
    </row>
    <row r="301" spans="1:18" hidden="1" x14ac:dyDescent="0.2">
      <c r="A301" s="41" t="s">
        <v>552</v>
      </c>
      <c r="B301" s="4" t="s">
        <v>184</v>
      </c>
      <c r="C301" s="3" t="s">
        <v>121</v>
      </c>
      <c r="D301" s="73" t="s">
        <v>185</v>
      </c>
      <c r="E301" s="11">
        <f>F301+I301</f>
        <v>0</v>
      </c>
      <c r="F301" s="11"/>
      <c r="G301" s="11"/>
      <c r="H301" s="11"/>
      <c r="I301" s="11"/>
      <c r="J301" s="11">
        <f>L301+O301</f>
        <v>0</v>
      </c>
      <c r="K301" s="11"/>
      <c r="L301" s="11"/>
      <c r="M301" s="11"/>
      <c r="N301" s="11"/>
      <c r="O301" s="12"/>
      <c r="P301" s="13">
        <f t="shared" si="55"/>
        <v>0</v>
      </c>
    </row>
    <row r="302" spans="1:18" ht="25.5" hidden="1" x14ac:dyDescent="0.2">
      <c r="A302" s="41" t="s">
        <v>558</v>
      </c>
      <c r="B302" s="4" t="s">
        <v>178</v>
      </c>
      <c r="C302" s="4" t="s">
        <v>124</v>
      </c>
      <c r="D302" s="82" t="s">
        <v>386</v>
      </c>
      <c r="E302" s="11">
        <f>F302+I302</f>
        <v>0</v>
      </c>
      <c r="F302" s="11"/>
      <c r="G302" s="11"/>
      <c r="H302" s="11"/>
      <c r="I302" s="11"/>
      <c r="J302" s="11">
        <f>L302+O302</f>
        <v>0</v>
      </c>
      <c r="K302" s="11"/>
      <c r="L302" s="11"/>
      <c r="M302" s="11"/>
      <c r="N302" s="11"/>
      <c r="O302" s="12"/>
      <c r="P302" s="13">
        <f t="shared" si="55"/>
        <v>0</v>
      </c>
    </row>
    <row r="303" spans="1:18" ht="25.5" x14ac:dyDescent="0.2">
      <c r="A303" s="62">
        <v>1500000</v>
      </c>
      <c r="B303" s="6"/>
      <c r="C303" s="7"/>
      <c r="D303" s="31" t="s">
        <v>655</v>
      </c>
      <c r="E303" s="25">
        <f>E312</f>
        <v>134499851</v>
      </c>
      <c r="F303" s="25">
        <f t="shared" ref="F303:O303" si="56">F312</f>
        <v>134499851</v>
      </c>
      <c r="G303" s="25">
        <f t="shared" si="56"/>
        <v>4702700</v>
      </c>
      <c r="H303" s="25">
        <f t="shared" si="56"/>
        <v>9526000</v>
      </c>
      <c r="I303" s="25">
        <f t="shared" si="56"/>
        <v>0</v>
      </c>
      <c r="J303" s="25">
        <f t="shared" si="56"/>
        <v>186515753</v>
      </c>
      <c r="K303" s="25">
        <f>K312</f>
        <v>155079753</v>
      </c>
      <c r="L303" s="25">
        <f t="shared" si="56"/>
        <v>0</v>
      </c>
      <c r="M303" s="25">
        <f t="shared" si="56"/>
        <v>0</v>
      </c>
      <c r="N303" s="25">
        <f t="shared" si="56"/>
        <v>0</v>
      </c>
      <c r="O303" s="25">
        <f t="shared" si="56"/>
        <v>186515753</v>
      </c>
      <c r="P303" s="13">
        <f t="shared" si="55"/>
        <v>321015604</v>
      </c>
      <c r="R303" s="34"/>
    </row>
    <row r="304" spans="1:18" s="1" customFormat="1" hidden="1" x14ac:dyDescent="0.2">
      <c r="A304" s="36"/>
      <c r="B304" s="18"/>
      <c r="C304" s="3"/>
      <c r="D304" s="15" t="s">
        <v>472</v>
      </c>
      <c r="E304" s="17"/>
      <c r="F304" s="17"/>
      <c r="G304" s="17"/>
      <c r="H304" s="17"/>
      <c r="I304" s="17"/>
      <c r="J304" s="17">
        <f>L304+O304</f>
        <v>0</v>
      </c>
      <c r="K304" s="17">
        <f>K321+K336</f>
        <v>0</v>
      </c>
      <c r="L304" s="17"/>
      <c r="M304" s="17"/>
      <c r="N304" s="17"/>
      <c r="O304" s="17">
        <f>K304</f>
        <v>0</v>
      </c>
      <c r="P304" s="16">
        <f t="shared" si="55"/>
        <v>0</v>
      </c>
    </row>
    <row r="305" spans="1:16" s="1" customFormat="1" ht="51" hidden="1" x14ac:dyDescent="0.2">
      <c r="A305" s="36"/>
      <c r="B305" s="18"/>
      <c r="C305" s="3"/>
      <c r="D305" s="19" t="s">
        <v>561</v>
      </c>
      <c r="E305" s="17"/>
      <c r="F305" s="17"/>
      <c r="G305" s="17"/>
      <c r="H305" s="17"/>
      <c r="I305" s="17"/>
      <c r="J305" s="17">
        <f t="shared" ref="J305:O305" si="57">J335</f>
        <v>0</v>
      </c>
      <c r="K305" s="17">
        <f t="shared" si="57"/>
        <v>0</v>
      </c>
      <c r="L305" s="17">
        <f t="shared" si="57"/>
        <v>0</v>
      </c>
      <c r="M305" s="17">
        <f t="shared" si="57"/>
        <v>0</v>
      </c>
      <c r="N305" s="17">
        <f t="shared" si="57"/>
        <v>0</v>
      </c>
      <c r="O305" s="17">
        <f t="shared" si="57"/>
        <v>0</v>
      </c>
      <c r="P305" s="16">
        <f t="shared" si="55"/>
        <v>0</v>
      </c>
    </row>
    <row r="306" spans="1:16" s="1" customFormat="1" ht="38.25" hidden="1" x14ac:dyDescent="0.2">
      <c r="A306" s="36"/>
      <c r="B306" s="18"/>
      <c r="C306" s="3"/>
      <c r="D306" s="69" t="s">
        <v>564</v>
      </c>
      <c r="E306" s="17"/>
      <c r="F306" s="17"/>
      <c r="G306" s="17"/>
      <c r="H306" s="17"/>
      <c r="I306" s="17"/>
      <c r="J306" s="17">
        <f t="shared" ref="J306:O306" si="58">J346</f>
        <v>0</v>
      </c>
      <c r="K306" s="17">
        <f t="shared" si="58"/>
        <v>0</v>
      </c>
      <c r="L306" s="17">
        <f t="shared" si="58"/>
        <v>0</v>
      </c>
      <c r="M306" s="17">
        <f t="shared" si="58"/>
        <v>0</v>
      </c>
      <c r="N306" s="17">
        <f t="shared" si="58"/>
        <v>0</v>
      </c>
      <c r="O306" s="17">
        <f t="shared" si="58"/>
        <v>0</v>
      </c>
      <c r="P306" s="16">
        <f t="shared" si="55"/>
        <v>0</v>
      </c>
    </row>
    <row r="307" spans="1:16" s="1" customFormat="1" ht="38.25" hidden="1" x14ac:dyDescent="0.2">
      <c r="A307" s="36"/>
      <c r="B307" s="18"/>
      <c r="C307" s="3"/>
      <c r="D307" s="19" t="s">
        <v>562</v>
      </c>
      <c r="E307" s="17"/>
      <c r="F307" s="17"/>
      <c r="G307" s="17"/>
      <c r="H307" s="17"/>
      <c r="I307" s="17"/>
      <c r="J307" s="17">
        <f>L307+O307</f>
        <v>0</v>
      </c>
      <c r="K307" s="17">
        <f>K316</f>
        <v>0</v>
      </c>
      <c r="L307" s="17">
        <f>L316</f>
        <v>0</v>
      </c>
      <c r="M307" s="17">
        <f>M316</f>
        <v>0</v>
      </c>
      <c r="N307" s="17">
        <f>N316</f>
        <v>0</v>
      </c>
      <c r="O307" s="17">
        <f>O316</f>
        <v>0</v>
      </c>
      <c r="P307" s="16">
        <f t="shared" si="55"/>
        <v>0</v>
      </c>
    </row>
    <row r="308" spans="1:16" s="1" customFormat="1" ht="25.5" hidden="1" x14ac:dyDescent="0.2">
      <c r="A308" s="36"/>
      <c r="B308" s="18"/>
      <c r="C308" s="3"/>
      <c r="D308" s="35" t="s">
        <v>499</v>
      </c>
      <c r="E308" s="17"/>
      <c r="F308" s="17"/>
      <c r="G308" s="17"/>
      <c r="H308" s="17"/>
      <c r="I308" s="17"/>
      <c r="J308" s="17">
        <f t="shared" ref="J308:O308" si="59">J353</f>
        <v>0</v>
      </c>
      <c r="K308" s="17">
        <f t="shared" si="59"/>
        <v>0</v>
      </c>
      <c r="L308" s="17">
        <f t="shared" si="59"/>
        <v>0</v>
      </c>
      <c r="M308" s="17">
        <f t="shared" si="59"/>
        <v>0</v>
      </c>
      <c r="N308" s="17">
        <f t="shared" si="59"/>
        <v>0</v>
      </c>
      <c r="O308" s="17">
        <f t="shared" si="59"/>
        <v>0</v>
      </c>
      <c r="P308" s="16">
        <f t="shared" si="55"/>
        <v>0</v>
      </c>
    </row>
    <row r="309" spans="1:16" s="1" customFormat="1" ht="38.25" hidden="1" x14ac:dyDescent="0.2">
      <c r="A309" s="36"/>
      <c r="B309" s="18"/>
      <c r="C309" s="3"/>
      <c r="D309" s="24" t="s">
        <v>583</v>
      </c>
      <c r="E309" s="17"/>
      <c r="F309" s="17"/>
      <c r="G309" s="17"/>
      <c r="H309" s="17"/>
      <c r="I309" s="17"/>
      <c r="J309" s="17">
        <f>L309+O309</f>
        <v>0</v>
      </c>
      <c r="K309" s="17">
        <f>O309</f>
        <v>0</v>
      </c>
      <c r="L309" s="17"/>
      <c r="M309" s="17"/>
      <c r="N309" s="17"/>
      <c r="O309" s="17">
        <f>O319</f>
        <v>0</v>
      </c>
      <c r="P309" s="16">
        <f t="shared" si="55"/>
        <v>0</v>
      </c>
    </row>
    <row r="310" spans="1:16" s="1" customFormat="1" ht="40.5" hidden="1" customHeight="1" x14ac:dyDescent="0.2">
      <c r="A310" s="36"/>
      <c r="B310" s="18"/>
      <c r="C310" s="3"/>
      <c r="D310" s="24" t="s">
        <v>590</v>
      </c>
      <c r="E310" s="17"/>
      <c r="F310" s="17"/>
      <c r="G310" s="17"/>
      <c r="H310" s="17"/>
      <c r="I310" s="17"/>
      <c r="J310" s="17">
        <f t="shared" ref="J310:O310" si="60">J355</f>
        <v>0</v>
      </c>
      <c r="K310" s="17">
        <f t="shared" si="60"/>
        <v>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6">
        <f t="shared" si="55"/>
        <v>0</v>
      </c>
    </row>
    <row r="311" spans="1:16" ht="15" customHeight="1" x14ac:dyDescent="0.2">
      <c r="A311" s="62"/>
      <c r="B311" s="6"/>
      <c r="C311" s="7"/>
      <c r="D311" s="24" t="s">
        <v>473</v>
      </c>
      <c r="E311" s="25">
        <f>F311+I311</f>
        <v>0</v>
      </c>
      <c r="F311" s="25"/>
      <c r="G311" s="25"/>
      <c r="H311" s="25"/>
      <c r="I311" s="25"/>
      <c r="J311" s="17">
        <f>L311+O311</f>
        <v>0</v>
      </c>
      <c r="K311" s="17"/>
      <c r="L311" s="17"/>
      <c r="M311" s="17"/>
      <c r="N311" s="17"/>
      <c r="O311" s="33">
        <f>O360</f>
        <v>0</v>
      </c>
      <c r="P311" s="13">
        <f t="shared" si="55"/>
        <v>0</v>
      </c>
    </row>
    <row r="312" spans="1:16" ht="25.5" x14ac:dyDescent="0.2">
      <c r="A312" s="41" t="s">
        <v>332</v>
      </c>
      <c r="B312" s="8"/>
      <c r="C312" s="7"/>
      <c r="D312" s="15" t="s">
        <v>655</v>
      </c>
      <c r="E312" s="29">
        <f>E313+E330+E356+E365</f>
        <v>134499851</v>
      </c>
      <c r="F312" s="29">
        <f>F313+F330+F356+F365</f>
        <v>134499851</v>
      </c>
      <c r="G312" s="29">
        <f>G313+G330+G356+G365</f>
        <v>4702700</v>
      </c>
      <c r="H312" s="29">
        <f>H313+H330+H356+H365</f>
        <v>9526000</v>
      </c>
      <c r="I312" s="29">
        <f>I313+I330+I356</f>
        <v>0</v>
      </c>
      <c r="J312" s="29">
        <f>J313+J315+J320+J324+J327+J328+J330+J332+J333+J338+J339+J347+J349+J352+J356+J363+J364+J366</f>
        <v>186515753</v>
      </c>
      <c r="K312" s="29">
        <f>K313+K315+K320+K324+K327+K328+K330+K332+K333+K338+K339+K347+K349+K352+K356+K363+K364</f>
        <v>155079753</v>
      </c>
      <c r="L312" s="29">
        <f>L313+L315+L320+L324+L327+L328+L330+L332+L333+L338+L339+L347+L349+L352+L356+L363+L364</f>
        <v>0</v>
      </c>
      <c r="M312" s="29">
        <f>M313+M315+M320+M324+M327+M328+M330+M332+M333+M338+M339+M347+M349+M352+M356+M363+M364</f>
        <v>0</v>
      </c>
      <c r="N312" s="29">
        <f>N313+N315+N320+N324+N327+N328+N330+N332+N333+N338+N339+N347+N349+N352+N356+N363+N364</f>
        <v>0</v>
      </c>
      <c r="O312" s="29">
        <f>O313+O315+O320+O324+O327+O328+O330+O332+O333+O338+O339+O347+O349+O352+O356+O363+O364+O366</f>
        <v>186515753</v>
      </c>
      <c r="P312" s="29">
        <f>P313+P315+P320+P324+P327+P328+P330+P332+P333+P338+P339+P347+P349+P352+P356+P363+P364+P365+P366</f>
        <v>321015604</v>
      </c>
    </row>
    <row r="313" spans="1:16" ht="25.5" x14ac:dyDescent="0.2">
      <c r="A313" s="41" t="s">
        <v>333</v>
      </c>
      <c r="B313" s="4" t="s">
        <v>187</v>
      </c>
      <c r="C313" s="4" t="s">
        <v>115</v>
      </c>
      <c r="D313" s="14" t="s">
        <v>604</v>
      </c>
      <c r="E313" s="11">
        <f t="shared" ref="E313:E361" si="61">F313+I313</f>
        <v>6631900</v>
      </c>
      <c r="F313" s="12">
        <f>4675900+2000000+6000-50000</f>
        <v>6631900</v>
      </c>
      <c r="G313" s="12">
        <f>3002700+1700000</f>
        <v>4702700</v>
      </c>
      <c r="H313" s="12">
        <v>26000</v>
      </c>
      <c r="I313" s="12"/>
      <c r="J313" s="11">
        <f t="shared" ref="J313:J355" si="62">L313+O313</f>
        <v>580000</v>
      </c>
      <c r="K313" s="12">
        <f>500000+30000+50000</f>
        <v>580000</v>
      </c>
      <c r="L313" s="12"/>
      <c r="M313" s="12"/>
      <c r="N313" s="12"/>
      <c r="O313" s="12">
        <f t="shared" ref="O313:O339" si="63">K313</f>
        <v>580000</v>
      </c>
      <c r="P313" s="13">
        <f t="shared" ref="P313:P368" si="64">E313+J313</f>
        <v>7211900</v>
      </c>
    </row>
    <row r="314" spans="1:16" ht="16.5" hidden="1" customHeight="1" x14ac:dyDescent="0.2">
      <c r="A314" s="41" t="s">
        <v>334</v>
      </c>
      <c r="B314" s="20" t="s">
        <v>58</v>
      </c>
      <c r="C314" s="20" t="s">
        <v>131</v>
      </c>
      <c r="D314" s="5" t="s">
        <v>189</v>
      </c>
      <c r="E314" s="11">
        <f t="shared" si="61"/>
        <v>0</v>
      </c>
      <c r="F314" s="12"/>
      <c r="G314" s="12"/>
      <c r="H314" s="12"/>
      <c r="I314" s="12"/>
      <c r="J314" s="11">
        <f t="shared" si="62"/>
        <v>0</v>
      </c>
      <c r="K314" s="12">
        <f>250000-250000</f>
        <v>0</v>
      </c>
      <c r="L314" s="12"/>
      <c r="M314" s="12"/>
      <c r="N314" s="12"/>
      <c r="O314" s="12">
        <f t="shared" si="63"/>
        <v>0</v>
      </c>
      <c r="P314" s="13">
        <f t="shared" si="64"/>
        <v>0</v>
      </c>
    </row>
    <row r="315" spans="1:16" x14ac:dyDescent="0.2">
      <c r="A315" s="41" t="s">
        <v>633</v>
      </c>
      <c r="B315" s="98" t="s">
        <v>610</v>
      </c>
      <c r="C315" s="20" t="s">
        <v>132</v>
      </c>
      <c r="D315" s="21" t="s">
        <v>619</v>
      </c>
      <c r="E315" s="11">
        <f t="shared" si="61"/>
        <v>0</v>
      </c>
      <c r="F315" s="12"/>
      <c r="G315" s="12"/>
      <c r="H315" s="12"/>
      <c r="I315" s="12"/>
      <c r="J315" s="11">
        <f t="shared" si="62"/>
        <v>420242</v>
      </c>
      <c r="K315" s="12">
        <f>409800+10442</f>
        <v>420242</v>
      </c>
      <c r="L315" s="12"/>
      <c r="M315" s="12"/>
      <c r="N315" s="12"/>
      <c r="O315" s="12">
        <f t="shared" si="63"/>
        <v>420242</v>
      </c>
      <c r="P315" s="13">
        <f t="shared" si="64"/>
        <v>420242</v>
      </c>
    </row>
    <row r="316" spans="1:16" ht="38.25" hidden="1" x14ac:dyDescent="0.2">
      <c r="A316" s="41"/>
      <c r="B316" s="20"/>
      <c r="C316" s="20"/>
      <c r="D316" s="19" t="s">
        <v>562</v>
      </c>
      <c r="E316" s="11"/>
      <c r="F316" s="12"/>
      <c r="G316" s="12"/>
      <c r="H316" s="12"/>
      <c r="I316" s="12"/>
      <c r="J316" s="11">
        <f t="shared" si="62"/>
        <v>0</v>
      </c>
      <c r="K316" s="12"/>
      <c r="L316" s="12"/>
      <c r="M316" s="12"/>
      <c r="N316" s="12"/>
      <c r="O316" s="12">
        <f>K316</f>
        <v>0</v>
      </c>
      <c r="P316" s="13">
        <f>E316+J316</f>
        <v>0</v>
      </c>
    </row>
    <row r="317" spans="1:16" ht="25.5" hidden="1" x14ac:dyDescent="0.2">
      <c r="A317" s="41" t="s">
        <v>524</v>
      </c>
      <c r="B317" s="20" t="s">
        <v>116</v>
      </c>
      <c r="C317" s="20" t="s">
        <v>133</v>
      </c>
      <c r="D317" s="21" t="s">
        <v>572</v>
      </c>
      <c r="E317" s="11">
        <f t="shared" si="61"/>
        <v>0</v>
      </c>
      <c r="F317" s="12"/>
      <c r="G317" s="12"/>
      <c r="H317" s="12"/>
      <c r="I317" s="12"/>
      <c r="J317" s="11">
        <f t="shared" si="62"/>
        <v>0</v>
      </c>
      <c r="K317" s="12"/>
      <c r="L317" s="12"/>
      <c r="M317" s="12"/>
      <c r="N317" s="12"/>
      <c r="O317" s="12">
        <f t="shared" si="63"/>
        <v>0</v>
      </c>
      <c r="P317" s="13">
        <f t="shared" si="64"/>
        <v>0</v>
      </c>
    </row>
    <row r="318" spans="1:16" ht="25.5" hidden="1" x14ac:dyDescent="0.2">
      <c r="A318" s="41" t="s">
        <v>585</v>
      </c>
      <c r="B318" s="20" t="s">
        <v>586</v>
      </c>
      <c r="C318" s="20" t="s">
        <v>134</v>
      </c>
      <c r="D318" s="5" t="s">
        <v>584</v>
      </c>
      <c r="E318" s="11">
        <f t="shared" si="61"/>
        <v>0</v>
      </c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 t="shared" si="63"/>
        <v>0</v>
      </c>
      <c r="P318" s="13">
        <f t="shared" si="64"/>
        <v>0</v>
      </c>
    </row>
    <row r="319" spans="1:16" s="1" customFormat="1" ht="38.25" hidden="1" x14ac:dyDescent="0.2">
      <c r="A319" s="36"/>
      <c r="B319" s="22"/>
      <c r="C319" s="22"/>
      <c r="D319" s="24" t="s">
        <v>583</v>
      </c>
      <c r="E319" s="10"/>
      <c r="F319" s="17"/>
      <c r="G319" s="17"/>
      <c r="H319" s="17"/>
      <c r="I319" s="17"/>
      <c r="J319" s="10">
        <f>L319+O319</f>
        <v>0</v>
      </c>
      <c r="K319" s="17"/>
      <c r="L319" s="17"/>
      <c r="M319" s="17"/>
      <c r="N319" s="17"/>
      <c r="O319" s="17"/>
      <c r="P319" s="13">
        <f t="shared" si="64"/>
        <v>0</v>
      </c>
    </row>
    <row r="320" spans="1:16" x14ac:dyDescent="0.2">
      <c r="A320" s="41" t="s">
        <v>354</v>
      </c>
      <c r="B320" s="4" t="s">
        <v>32</v>
      </c>
      <c r="C320" s="4" t="s">
        <v>2</v>
      </c>
      <c r="D320" s="5" t="s">
        <v>89</v>
      </c>
      <c r="E320" s="11">
        <f>F320+I320</f>
        <v>0</v>
      </c>
      <c r="F320" s="12"/>
      <c r="G320" s="12"/>
      <c r="H320" s="12"/>
      <c r="I320" s="12"/>
      <c r="J320" s="11">
        <f t="shared" si="62"/>
        <v>620000</v>
      </c>
      <c r="K320" s="12">
        <f>520000+100000</f>
        <v>620000</v>
      </c>
      <c r="L320" s="12"/>
      <c r="M320" s="12"/>
      <c r="N320" s="12"/>
      <c r="O320" s="12">
        <f t="shared" si="63"/>
        <v>620000</v>
      </c>
      <c r="P320" s="13">
        <f t="shared" si="64"/>
        <v>620000</v>
      </c>
    </row>
    <row r="321" spans="1:16" s="1" customFormat="1" hidden="1" x14ac:dyDescent="0.2">
      <c r="A321" s="36"/>
      <c r="B321" s="3"/>
      <c r="C321" s="3"/>
      <c r="D321" s="24" t="s">
        <v>472</v>
      </c>
      <c r="E321" s="10"/>
      <c r="F321" s="17"/>
      <c r="G321" s="17"/>
      <c r="H321" s="17"/>
      <c r="I321" s="17"/>
      <c r="J321" s="10">
        <f t="shared" si="62"/>
        <v>0</v>
      </c>
      <c r="K321" s="17"/>
      <c r="L321" s="17"/>
      <c r="M321" s="17"/>
      <c r="N321" s="17"/>
      <c r="O321" s="17">
        <f t="shared" si="63"/>
        <v>0</v>
      </c>
      <c r="P321" s="13">
        <f t="shared" si="64"/>
        <v>0</v>
      </c>
    </row>
    <row r="322" spans="1:16" hidden="1" x14ac:dyDescent="0.2">
      <c r="A322" s="41" t="s">
        <v>501</v>
      </c>
      <c r="B322" s="4" t="s">
        <v>197</v>
      </c>
      <c r="C322" s="4" t="s">
        <v>3</v>
      </c>
      <c r="D322" s="5" t="s">
        <v>91</v>
      </c>
      <c r="E322" s="11">
        <f t="shared" si="61"/>
        <v>0</v>
      </c>
      <c r="F322" s="12"/>
      <c r="G322" s="12"/>
      <c r="H322" s="12"/>
      <c r="I322" s="12"/>
      <c r="J322" s="11">
        <f t="shared" si="62"/>
        <v>0</v>
      </c>
      <c r="K322" s="12"/>
      <c r="L322" s="12"/>
      <c r="M322" s="12"/>
      <c r="N322" s="12"/>
      <c r="O322" s="12">
        <f t="shared" si="63"/>
        <v>0</v>
      </c>
      <c r="P322" s="13">
        <f t="shared" si="64"/>
        <v>0</v>
      </c>
    </row>
    <row r="323" spans="1:16" hidden="1" x14ac:dyDescent="0.2">
      <c r="A323" s="41" t="s">
        <v>355</v>
      </c>
      <c r="B323" s="4" t="s">
        <v>205</v>
      </c>
      <c r="C323" s="4"/>
      <c r="D323" s="14" t="s">
        <v>418</v>
      </c>
      <c r="E323" s="11">
        <f t="shared" si="61"/>
        <v>0</v>
      </c>
      <c r="F323" s="12">
        <f>F324</f>
        <v>0</v>
      </c>
      <c r="G323" s="12">
        <f>G324</f>
        <v>0</v>
      </c>
      <c r="H323" s="12">
        <f>H324</f>
        <v>0</v>
      </c>
      <c r="I323" s="12">
        <f>I324</f>
        <v>0</v>
      </c>
      <c r="J323" s="11">
        <f t="shared" si="62"/>
        <v>0</v>
      </c>
      <c r="K323" s="12"/>
      <c r="L323" s="12">
        <f>L324</f>
        <v>0</v>
      </c>
      <c r="M323" s="12">
        <f>M324</f>
        <v>0</v>
      </c>
      <c r="N323" s="12">
        <f>N324</f>
        <v>0</v>
      </c>
      <c r="O323" s="12">
        <f t="shared" si="63"/>
        <v>0</v>
      </c>
      <c r="P323" s="13">
        <f t="shared" si="64"/>
        <v>0</v>
      </c>
    </row>
    <row r="324" spans="1:16" s="1" customFormat="1" ht="25.5" x14ac:dyDescent="0.2">
      <c r="A324" s="36" t="s">
        <v>356</v>
      </c>
      <c r="B324" s="3" t="s">
        <v>208</v>
      </c>
      <c r="C324" s="3" t="s">
        <v>444</v>
      </c>
      <c r="D324" s="15" t="s">
        <v>207</v>
      </c>
      <c r="E324" s="10">
        <f t="shared" si="61"/>
        <v>0</v>
      </c>
      <c r="F324" s="17"/>
      <c r="G324" s="17"/>
      <c r="H324" s="17"/>
      <c r="I324" s="17"/>
      <c r="J324" s="10">
        <f t="shared" si="62"/>
        <v>3000</v>
      </c>
      <c r="K324" s="17">
        <v>3000</v>
      </c>
      <c r="L324" s="17"/>
      <c r="M324" s="17"/>
      <c r="N324" s="17"/>
      <c r="O324" s="12">
        <f t="shared" si="63"/>
        <v>3000</v>
      </c>
      <c r="P324" s="16">
        <f t="shared" si="64"/>
        <v>3000</v>
      </c>
    </row>
    <row r="325" spans="1:16" ht="25.5" hidden="1" x14ac:dyDescent="0.2">
      <c r="A325" s="41" t="s">
        <v>521</v>
      </c>
      <c r="B325" s="4" t="s">
        <v>52</v>
      </c>
      <c r="C325" s="20" t="s">
        <v>65</v>
      </c>
      <c r="D325" s="21" t="s">
        <v>284</v>
      </c>
      <c r="E325" s="11">
        <f t="shared" si="61"/>
        <v>0</v>
      </c>
      <c r="F325" s="12"/>
      <c r="G325" s="12"/>
      <c r="H325" s="12"/>
      <c r="I325" s="12"/>
      <c r="J325" s="11">
        <f t="shared" si="62"/>
        <v>0</v>
      </c>
      <c r="K325" s="12"/>
      <c r="L325" s="12"/>
      <c r="M325" s="12"/>
      <c r="N325" s="12"/>
      <c r="O325" s="12">
        <f t="shared" si="63"/>
        <v>0</v>
      </c>
      <c r="P325" s="13">
        <f t="shared" si="64"/>
        <v>0</v>
      </c>
    </row>
    <row r="326" spans="1:16" ht="25.5" hidden="1" x14ac:dyDescent="0.2">
      <c r="A326" s="41" t="s">
        <v>551</v>
      </c>
      <c r="B326" s="4" t="s">
        <v>137</v>
      </c>
      <c r="C326" s="22" t="s">
        <v>1</v>
      </c>
      <c r="D326" s="5" t="s">
        <v>87</v>
      </c>
      <c r="E326" s="11"/>
      <c r="F326" s="12"/>
      <c r="G326" s="12"/>
      <c r="H326" s="12"/>
      <c r="I326" s="12"/>
      <c r="J326" s="11">
        <f>L326+O326</f>
        <v>0</v>
      </c>
      <c r="K326" s="12"/>
      <c r="L326" s="12"/>
      <c r="M326" s="12"/>
      <c r="N326" s="12"/>
      <c r="O326" s="12">
        <f>K326</f>
        <v>0</v>
      </c>
      <c r="P326" s="13">
        <f>E326+J326</f>
        <v>0</v>
      </c>
    </row>
    <row r="327" spans="1:16" ht="25.5" x14ac:dyDescent="0.2">
      <c r="A327" s="41" t="s">
        <v>578</v>
      </c>
      <c r="B327" s="4" t="s">
        <v>576</v>
      </c>
      <c r="C327" s="22" t="s">
        <v>1</v>
      </c>
      <c r="D327" s="5" t="s">
        <v>577</v>
      </c>
      <c r="E327" s="11"/>
      <c r="F327" s="12"/>
      <c r="G327" s="12"/>
      <c r="H327" s="12"/>
      <c r="I327" s="12"/>
      <c r="J327" s="11">
        <f>L327+O327</f>
        <v>3550000</v>
      </c>
      <c r="K327" s="12">
        <f>3500000+50000</f>
        <v>3550000</v>
      </c>
      <c r="L327" s="12"/>
      <c r="M327" s="12"/>
      <c r="N327" s="12"/>
      <c r="O327" s="12">
        <f>K327</f>
        <v>3550000</v>
      </c>
      <c r="P327" s="13">
        <f>E327+J327</f>
        <v>3550000</v>
      </c>
    </row>
    <row r="328" spans="1:16" ht="25.5" x14ac:dyDescent="0.2">
      <c r="A328" s="41" t="s">
        <v>659</v>
      </c>
      <c r="B328" s="4" t="s">
        <v>352</v>
      </c>
      <c r="C328" s="4" t="s">
        <v>68</v>
      </c>
      <c r="D328" s="21" t="s">
        <v>353</v>
      </c>
      <c r="E328" s="11">
        <f>F328+I328</f>
        <v>0</v>
      </c>
      <c r="F328" s="12"/>
      <c r="G328" s="12"/>
      <c r="H328" s="12"/>
      <c r="I328" s="12"/>
      <c r="J328" s="11">
        <f>L328+O328</f>
        <v>625000</v>
      </c>
      <c r="K328" s="12">
        <v>625000</v>
      </c>
      <c r="L328" s="12"/>
      <c r="M328" s="12"/>
      <c r="N328" s="12"/>
      <c r="O328" s="12">
        <f>K328</f>
        <v>625000</v>
      </c>
      <c r="P328" s="13">
        <f>E328+J328</f>
        <v>625000</v>
      </c>
    </row>
    <row r="329" spans="1:16" hidden="1" x14ac:dyDescent="0.2">
      <c r="A329" s="41"/>
      <c r="B329" s="4"/>
      <c r="C329" s="22"/>
      <c r="D329" s="5"/>
      <c r="E329" s="11"/>
      <c r="F329" s="12"/>
      <c r="G329" s="12"/>
      <c r="H329" s="12"/>
      <c r="I329" s="12"/>
      <c r="J329" s="11"/>
      <c r="K329" s="12"/>
      <c r="L329" s="12"/>
      <c r="M329" s="12"/>
      <c r="N329" s="12"/>
      <c r="O329" s="12"/>
      <c r="P329" s="13"/>
    </row>
    <row r="330" spans="1:16" x14ac:dyDescent="0.2">
      <c r="A330" s="41" t="s">
        <v>357</v>
      </c>
      <c r="B330" s="20" t="s">
        <v>303</v>
      </c>
      <c r="C330" s="20" t="s">
        <v>68</v>
      </c>
      <c r="D330" s="21" t="s">
        <v>302</v>
      </c>
      <c r="E330" s="11">
        <f t="shared" si="61"/>
        <v>84297951</v>
      </c>
      <c r="F330" s="30">
        <f>600000+83697951</f>
        <v>84297951</v>
      </c>
      <c r="G330" s="30"/>
      <c r="H330" s="30">
        <v>9500000</v>
      </c>
      <c r="I330" s="30"/>
      <c r="J330" s="11">
        <f t="shared" si="62"/>
        <v>12810225</v>
      </c>
      <c r="K330" s="30">
        <f>7043835-100000+5866390</f>
        <v>12810225</v>
      </c>
      <c r="L330" s="30"/>
      <c r="M330" s="30"/>
      <c r="N330" s="30"/>
      <c r="O330" s="12">
        <f t="shared" si="63"/>
        <v>12810225</v>
      </c>
      <c r="P330" s="13">
        <f t="shared" si="64"/>
        <v>97108176</v>
      </c>
    </row>
    <row r="331" spans="1:16" hidden="1" x14ac:dyDescent="0.2">
      <c r="A331" s="41" t="s">
        <v>560</v>
      </c>
      <c r="B331" s="20" t="s">
        <v>330</v>
      </c>
      <c r="C331" s="20" t="s">
        <v>160</v>
      </c>
      <c r="D331" s="5" t="s">
        <v>329</v>
      </c>
      <c r="E331" s="11"/>
      <c r="F331" s="30"/>
      <c r="G331" s="30"/>
      <c r="H331" s="30"/>
      <c r="I331" s="30"/>
      <c r="J331" s="11">
        <f t="shared" si="62"/>
        <v>0</v>
      </c>
      <c r="K331" s="30"/>
      <c r="L331" s="30"/>
      <c r="M331" s="30"/>
      <c r="N331" s="30"/>
      <c r="O331" s="12">
        <f>K331</f>
        <v>0</v>
      </c>
      <c r="P331" s="13">
        <f>E331+J331</f>
        <v>0</v>
      </c>
    </row>
    <row r="332" spans="1:16" x14ac:dyDescent="0.2">
      <c r="A332" s="41" t="s">
        <v>560</v>
      </c>
      <c r="B332" s="81" t="s">
        <v>330</v>
      </c>
      <c r="C332" s="81" t="s">
        <v>160</v>
      </c>
      <c r="D332" s="5" t="s">
        <v>329</v>
      </c>
      <c r="E332" s="11">
        <f>F332+I332</f>
        <v>0</v>
      </c>
      <c r="F332" s="12"/>
      <c r="G332" s="12"/>
      <c r="H332" s="12"/>
      <c r="I332" s="12"/>
      <c r="J332" s="11">
        <f>L332+O332</f>
        <v>500000</v>
      </c>
      <c r="K332" s="12">
        <v>500000</v>
      </c>
      <c r="L332" s="12"/>
      <c r="M332" s="12"/>
      <c r="N332" s="12"/>
      <c r="O332" s="12">
        <f>K332</f>
        <v>500000</v>
      </c>
      <c r="P332" s="13">
        <f>E332+J332</f>
        <v>500000</v>
      </c>
    </row>
    <row r="333" spans="1:16" x14ac:dyDescent="0.2">
      <c r="A333" s="41" t="s">
        <v>361</v>
      </c>
      <c r="B333" s="4" t="s">
        <v>359</v>
      </c>
      <c r="C333" s="4" t="s">
        <v>360</v>
      </c>
      <c r="D333" s="14" t="s">
        <v>358</v>
      </c>
      <c r="E333" s="11">
        <f t="shared" si="61"/>
        <v>0</v>
      </c>
      <c r="F333" s="12"/>
      <c r="G333" s="12"/>
      <c r="H333" s="12"/>
      <c r="I333" s="12"/>
      <c r="J333" s="11">
        <f t="shared" si="62"/>
        <v>8605342</v>
      </c>
      <c r="K333" s="12">
        <f>4011000+1594342+3000000</f>
        <v>8605342</v>
      </c>
      <c r="L333" s="12"/>
      <c r="M333" s="12"/>
      <c r="N333" s="12"/>
      <c r="O333" s="12">
        <f t="shared" si="63"/>
        <v>8605342</v>
      </c>
      <c r="P333" s="13">
        <f t="shared" si="64"/>
        <v>8605342</v>
      </c>
    </row>
    <row r="334" spans="1:16" hidden="1" x14ac:dyDescent="0.2">
      <c r="A334" s="41" t="s">
        <v>364</v>
      </c>
      <c r="B334" s="4" t="s">
        <v>363</v>
      </c>
      <c r="C334" s="4"/>
      <c r="D334" s="21" t="s">
        <v>362</v>
      </c>
      <c r="E334" s="11">
        <f t="shared" si="61"/>
        <v>0</v>
      </c>
      <c r="F334" s="12"/>
      <c r="G334" s="12"/>
      <c r="H334" s="12"/>
      <c r="I334" s="12"/>
      <c r="J334" s="11">
        <f t="shared" si="62"/>
        <v>0</v>
      </c>
      <c r="K334" s="12"/>
      <c r="L334" s="12">
        <f>SUM(L337:L339)</f>
        <v>0</v>
      </c>
      <c r="M334" s="12">
        <f>SUM(M337:M339)</f>
        <v>0</v>
      </c>
      <c r="N334" s="12">
        <f>SUM(N337:N339)</f>
        <v>0</v>
      </c>
      <c r="O334" s="12">
        <f>K334</f>
        <v>0</v>
      </c>
      <c r="P334" s="13">
        <f>E334+J334</f>
        <v>0</v>
      </c>
    </row>
    <row r="335" spans="1:16" s="1" customFormat="1" ht="51" hidden="1" x14ac:dyDescent="0.2">
      <c r="A335" s="36"/>
      <c r="B335" s="3"/>
      <c r="C335" s="3"/>
      <c r="D335" s="19" t="s">
        <v>561</v>
      </c>
      <c r="E335" s="10"/>
      <c r="F335" s="17"/>
      <c r="G335" s="17"/>
      <c r="H335" s="17"/>
      <c r="I335" s="17"/>
      <c r="J335" s="11">
        <f t="shared" si="62"/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/>
      <c r="B336" s="3"/>
      <c r="C336" s="3"/>
      <c r="D336" s="19" t="s">
        <v>472</v>
      </c>
      <c r="E336" s="10"/>
      <c r="F336" s="17"/>
      <c r="G336" s="17"/>
      <c r="H336" s="17"/>
      <c r="I336" s="17"/>
      <c r="J336" s="10">
        <f>K336+L336</f>
        <v>0</v>
      </c>
      <c r="K336" s="17"/>
      <c r="L336" s="17"/>
      <c r="M336" s="17"/>
      <c r="N336" s="17"/>
      <c r="O336" s="12">
        <f>K336</f>
        <v>0</v>
      </c>
      <c r="P336" s="13">
        <f>E336+J336</f>
        <v>0</v>
      </c>
    </row>
    <row r="337" spans="1:16" s="1" customFormat="1" hidden="1" x14ac:dyDescent="0.2">
      <c r="A337" s="36" t="s">
        <v>368</v>
      </c>
      <c r="B337" s="3" t="s">
        <v>365</v>
      </c>
      <c r="C337" s="3" t="s">
        <v>360</v>
      </c>
      <c r="D337" s="19" t="s">
        <v>371</v>
      </c>
      <c r="E337" s="11">
        <f t="shared" si="61"/>
        <v>0</v>
      </c>
      <c r="F337" s="17"/>
      <c r="G337" s="17"/>
      <c r="H337" s="17"/>
      <c r="I337" s="17"/>
      <c r="J337" s="11">
        <f t="shared" si="62"/>
        <v>0</v>
      </c>
      <c r="K337" s="17"/>
      <c r="L337" s="17"/>
      <c r="M337" s="17"/>
      <c r="N337" s="17"/>
      <c r="O337" s="12">
        <f t="shared" si="63"/>
        <v>0</v>
      </c>
      <c r="P337" s="13">
        <f t="shared" si="64"/>
        <v>0</v>
      </c>
    </row>
    <row r="338" spans="1:16" s="1" customFormat="1" x14ac:dyDescent="0.2">
      <c r="A338" s="36" t="s">
        <v>369</v>
      </c>
      <c r="B338" s="3" t="s">
        <v>366</v>
      </c>
      <c r="C338" s="3" t="s">
        <v>360</v>
      </c>
      <c r="D338" s="19" t="s">
        <v>372</v>
      </c>
      <c r="E338" s="11">
        <f t="shared" si="61"/>
        <v>0</v>
      </c>
      <c r="F338" s="17"/>
      <c r="G338" s="17"/>
      <c r="H338" s="17"/>
      <c r="I338" s="17"/>
      <c r="J338" s="11">
        <f t="shared" si="62"/>
        <v>70000</v>
      </c>
      <c r="K338" s="17">
        <v>70000</v>
      </c>
      <c r="L338" s="17"/>
      <c r="M338" s="17"/>
      <c r="N338" s="17"/>
      <c r="O338" s="12">
        <f t="shared" si="63"/>
        <v>70000</v>
      </c>
      <c r="P338" s="13">
        <f t="shared" si="64"/>
        <v>70000</v>
      </c>
    </row>
    <row r="339" spans="1:16" s="1" customFormat="1" x14ac:dyDescent="0.2">
      <c r="A339" s="36" t="s">
        <v>370</v>
      </c>
      <c r="B339" s="3" t="s">
        <v>367</v>
      </c>
      <c r="C339" s="3" t="s">
        <v>360</v>
      </c>
      <c r="D339" s="19" t="s">
        <v>373</v>
      </c>
      <c r="E339" s="11">
        <f t="shared" si="61"/>
        <v>0</v>
      </c>
      <c r="F339" s="17"/>
      <c r="G339" s="17"/>
      <c r="H339" s="17"/>
      <c r="I339" s="17"/>
      <c r="J339" s="11">
        <f t="shared" si="62"/>
        <v>5250000</v>
      </c>
      <c r="K339" s="17">
        <f>3849639+1400361</f>
        <v>5250000</v>
      </c>
      <c r="L339" s="17"/>
      <c r="M339" s="17"/>
      <c r="N339" s="17"/>
      <c r="O339" s="12">
        <f t="shared" si="63"/>
        <v>5250000</v>
      </c>
      <c r="P339" s="13">
        <f t="shared" si="64"/>
        <v>5250000</v>
      </c>
    </row>
    <row r="340" spans="1:16" ht="25.5" hidden="1" x14ac:dyDescent="0.2">
      <c r="A340" s="41">
        <v>4713100</v>
      </c>
      <c r="B340" s="4" t="s">
        <v>149</v>
      </c>
      <c r="C340" s="4"/>
      <c r="D340" s="21" t="s">
        <v>13</v>
      </c>
      <c r="E340" s="11">
        <f>E341</f>
        <v>0</v>
      </c>
      <c r="F340" s="11">
        <f t="shared" ref="F340:O340" si="65">F341</f>
        <v>0</v>
      </c>
      <c r="G340" s="11">
        <f t="shared" si="65"/>
        <v>0</v>
      </c>
      <c r="H340" s="11">
        <f t="shared" si="65"/>
        <v>0</v>
      </c>
      <c r="I340" s="11">
        <f t="shared" si="65"/>
        <v>0</v>
      </c>
      <c r="J340" s="11">
        <f t="shared" si="62"/>
        <v>0</v>
      </c>
      <c r="K340" s="11"/>
      <c r="L340" s="11">
        <f t="shared" si="65"/>
        <v>0</v>
      </c>
      <c r="M340" s="11">
        <f t="shared" si="65"/>
        <v>0</v>
      </c>
      <c r="N340" s="11">
        <f t="shared" si="65"/>
        <v>0</v>
      </c>
      <c r="O340" s="11">
        <f t="shared" si="65"/>
        <v>0</v>
      </c>
      <c r="P340" s="13">
        <f t="shared" si="64"/>
        <v>0</v>
      </c>
    </row>
    <row r="341" spans="1:16" s="1" customFormat="1" hidden="1" x14ac:dyDescent="0.2">
      <c r="A341" s="36">
        <v>4713105</v>
      </c>
      <c r="B341" s="3" t="s">
        <v>51</v>
      </c>
      <c r="C341" s="3" t="s">
        <v>58</v>
      </c>
      <c r="D341" s="24" t="s">
        <v>104</v>
      </c>
      <c r="E341" s="10">
        <f>F341+I341</f>
        <v>0</v>
      </c>
      <c r="F341" s="33"/>
      <c r="G341" s="33"/>
      <c r="H341" s="33"/>
      <c r="I341" s="33"/>
      <c r="J341" s="11">
        <f t="shared" si="62"/>
        <v>0</v>
      </c>
      <c r="K341" s="17"/>
      <c r="L341" s="33"/>
      <c r="M341" s="33"/>
      <c r="N341" s="33"/>
      <c r="O341" s="17">
        <f>K341</f>
        <v>0</v>
      </c>
      <c r="P341" s="13">
        <f t="shared" si="64"/>
        <v>0</v>
      </c>
    </row>
    <row r="342" spans="1:16" hidden="1" x14ac:dyDescent="0.2">
      <c r="A342" s="41">
        <v>4715040</v>
      </c>
      <c r="B342" s="20" t="s">
        <v>138</v>
      </c>
      <c r="C342" s="20"/>
      <c r="D342" s="5" t="s">
        <v>139</v>
      </c>
      <c r="E342" s="11">
        <f>E343</f>
        <v>0</v>
      </c>
      <c r="F342" s="11">
        <f t="shared" ref="F342:O342" si="66">F343</f>
        <v>0</v>
      </c>
      <c r="G342" s="11">
        <f t="shared" si="66"/>
        <v>0</v>
      </c>
      <c r="H342" s="11">
        <f t="shared" si="66"/>
        <v>0</v>
      </c>
      <c r="I342" s="11">
        <f t="shared" si="66"/>
        <v>0</v>
      </c>
      <c r="J342" s="11">
        <f t="shared" si="62"/>
        <v>0</v>
      </c>
      <c r="K342" s="11"/>
      <c r="L342" s="11">
        <f t="shared" si="66"/>
        <v>0</v>
      </c>
      <c r="M342" s="11">
        <f t="shared" si="66"/>
        <v>0</v>
      </c>
      <c r="N342" s="11">
        <f t="shared" si="66"/>
        <v>0</v>
      </c>
      <c r="O342" s="11">
        <f t="shared" si="66"/>
        <v>0</v>
      </c>
      <c r="P342" s="13">
        <f t="shared" si="64"/>
        <v>0</v>
      </c>
    </row>
    <row r="343" spans="1:16" hidden="1" x14ac:dyDescent="0.2">
      <c r="A343" s="74">
        <v>4715041</v>
      </c>
      <c r="B343" s="22" t="s">
        <v>140</v>
      </c>
      <c r="C343" s="22" t="s">
        <v>1</v>
      </c>
      <c r="D343" s="24" t="s">
        <v>141</v>
      </c>
      <c r="E343" s="11">
        <f>F343+I343</f>
        <v>0</v>
      </c>
      <c r="F343" s="33"/>
      <c r="G343" s="33"/>
      <c r="H343" s="33"/>
      <c r="I343" s="33"/>
      <c r="J343" s="11">
        <f t="shared" si="62"/>
        <v>0</v>
      </c>
      <c r="K343" s="12"/>
      <c r="L343" s="33"/>
      <c r="M343" s="33"/>
      <c r="N343" s="33"/>
      <c r="O343" s="17">
        <f>K343</f>
        <v>0</v>
      </c>
      <c r="P343" s="13">
        <f t="shared" si="64"/>
        <v>0</v>
      </c>
    </row>
    <row r="344" spans="1:16" hidden="1" x14ac:dyDescent="0.2">
      <c r="A344" s="41">
        <v>4716050</v>
      </c>
      <c r="B344" s="4" t="s">
        <v>150</v>
      </c>
      <c r="C344" s="4"/>
      <c r="D344" s="47" t="s">
        <v>78</v>
      </c>
      <c r="E344" s="11">
        <f t="shared" si="61"/>
        <v>0</v>
      </c>
      <c r="F344" s="30"/>
      <c r="G344" s="30"/>
      <c r="H344" s="30"/>
      <c r="I344" s="30"/>
      <c r="J344" s="11">
        <f t="shared" si="62"/>
        <v>0</v>
      </c>
      <c r="K344" s="30"/>
      <c r="L344" s="30"/>
      <c r="M344" s="30"/>
      <c r="N344" s="30"/>
      <c r="O344" s="30">
        <f>O345</f>
        <v>0</v>
      </c>
      <c r="P344" s="13">
        <f t="shared" si="64"/>
        <v>0</v>
      </c>
    </row>
    <row r="345" spans="1:16" s="1" customFormat="1" hidden="1" x14ac:dyDescent="0.2">
      <c r="A345" s="36">
        <v>4716051</v>
      </c>
      <c r="B345" s="3" t="s">
        <v>54</v>
      </c>
      <c r="C345" s="3" t="s">
        <v>68</v>
      </c>
      <c r="D345" s="90" t="s">
        <v>79</v>
      </c>
      <c r="E345" s="11">
        <f t="shared" si="61"/>
        <v>0</v>
      </c>
      <c r="F345" s="33"/>
      <c r="G345" s="33"/>
      <c r="H345" s="33"/>
      <c r="I345" s="33"/>
      <c r="J345" s="11">
        <f t="shared" si="62"/>
        <v>0</v>
      </c>
      <c r="K345" s="33"/>
      <c r="L345" s="33"/>
      <c r="M345" s="33"/>
      <c r="N345" s="33"/>
      <c r="O345" s="17">
        <f t="shared" ref="O345:O353" si="67">K345</f>
        <v>0</v>
      </c>
      <c r="P345" s="13">
        <f t="shared" si="64"/>
        <v>0</v>
      </c>
    </row>
    <row r="346" spans="1:16" s="1" customFormat="1" ht="38.25" hidden="1" x14ac:dyDescent="0.2">
      <c r="A346" s="36"/>
      <c r="B346" s="3"/>
      <c r="C346" s="3"/>
      <c r="D346" s="69" t="s">
        <v>564</v>
      </c>
      <c r="E346" s="11"/>
      <c r="F346" s="33"/>
      <c r="G346" s="33"/>
      <c r="H346" s="33"/>
      <c r="I346" s="33"/>
      <c r="J346" s="11">
        <f t="shared" si="62"/>
        <v>0</v>
      </c>
      <c r="K346" s="33"/>
      <c r="L346" s="33"/>
      <c r="M346" s="33"/>
      <c r="N346" s="33"/>
      <c r="O346" s="33">
        <f>K346</f>
        <v>0</v>
      </c>
      <c r="P346" s="13">
        <f t="shared" si="64"/>
        <v>0</v>
      </c>
    </row>
    <row r="347" spans="1:16" ht="15.75" customHeight="1" x14ac:dyDescent="0.2">
      <c r="A347" s="41" t="s">
        <v>466</v>
      </c>
      <c r="B347" s="4" t="s">
        <v>467</v>
      </c>
      <c r="C347" s="4" t="s">
        <v>360</v>
      </c>
      <c r="D347" s="21" t="s">
        <v>550</v>
      </c>
      <c r="E347" s="11">
        <f t="shared" si="61"/>
        <v>0</v>
      </c>
      <c r="F347" s="12"/>
      <c r="G347" s="12"/>
      <c r="H347" s="12"/>
      <c r="I347" s="12"/>
      <c r="J347" s="11">
        <f t="shared" si="62"/>
        <v>8685420</v>
      </c>
      <c r="K347" s="12">
        <f>7282100+1403320</f>
        <v>8685420</v>
      </c>
      <c r="L347" s="12"/>
      <c r="M347" s="12"/>
      <c r="N347" s="12"/>
      <c r="O347" s="12">
        <f>K347</f>
        <v>8685420</v>
      </c>
      <c r="P347" s="13">
        <f t="shared" si="64"/>
        <v>8685420</v>
      </c>
    </row>
    <row r="348" spans="1:16" ht="27.75" hidden="1" customHeight="1" x14ac:dyDescent="0.2">
      <c r="A348" s="41" t="s">
        <v>480</v>
      </c>
      <c r="B348" s="4" t="s">
        <v>481</v>
      </c>
      <c r="C348" s="4"/>
      <c r="D348" s="21" t="s">
        <v>482</v>
      </c>
      <c r="E348" s="11">
        <f t="shared" si="61"/>
        <v>0</v>
      </c>
      <c r="F348" s="12"/>
      <c r="G348" s="12"/>
      <c r="H348" s="12"/>
      <c r="I348" s="12"/>
      <c r="J348" s="11">
        <f t="shared" si="62"/>
        <v>0</v>
      </c>
      <c r="K348" s="12"/>
      <c r="L348" s="12"/>
      <c r="M348" s="12"/>
      <c r="N348" s="12"/>
      <c r="O348" s="12">
        <f t="shared" si="67"/>
        <v>0</v>
      </c>
      <c r="P348" s="13">
        <f t="shared" si="64"/>
        <v>0</v>
      </c>
    </row>
    <row r="349" spans="1:16" s="1" customFormat="1" ht="25.5" x14ac:dyDescent="0.2">
      <c r="A349" s="36" t="s">
        <v>483</v>
      </c>
      <c r="B349" s="3" t="s">
        <v>484</v>
      </c>
      <c r="C349" s="3" t="s">
        <v>121</v>
      </c>
      <c r="D349" s="19" t="s">
        <v>485</v>
      </c>
      <c r="E349" s="10">
        <f t="shared" si="61"/>
        <v>0</v>
      </c>
      <c r="F349" s="17"/>
      <c r="G349" s="17"/>
      <c r="H349" s="17"/>
      <c r="I349" s="17"/>
      <c r="J349" s="10">
        <f t="shared" si="62"/>
        <v>3492976</v>
      </c>
      <c r="K349" s="17">
        <f>2500000+992976</f>
        <v>3492976</v>
      </c>
      <c r="L349" s="17"/>
      <c r="M349" s="17"/>
      <c r="N349" s="17"/>
      <c r="O349" s="17">
        <f t="shared" si="67"/>
        <v>3492976</v>
      </c>
      <c r="P349" s="16">
        <f t="shared" si="64"/>
        <v>3492976</v>
      </c>
    </row>
    <row r="350" spans="1:16" s="1" customFormat="1" ht="25.5" hidden="1" x14ac:dyDescent="0.2">
      <c r="A350" s="36" t="s">
        <v>509</v>
      </c>
      <c r="B350" s="3" t="s">
        <v>506</v>
      </c>
      <c r="C350" s="3" t="s">
        <v>121</v>
      </c>
      <c r="D350" s="19" t="s">
        <v>507</v>
      </c>
      <c r="E350" s="10">
        <f t="shared" si="61"/>
        <v>0</v>
      </c>
      <c r="F350" s="17"/>
      <c r="G350" s="17"/>
      <c r="H350" s="17"/>
      <c r="I350" s="17"/>
      <c r="J350" s="10">
        <f t="shared" si="62"/>
        <v>0</v>
      </c>
      <c r="K350" s="17"/>
      <c r="L350" s="17"/>
      <c r="M350" s="17"/>
      <c r="N350" s="17"/>
      <c r="O350" s="17">
        <f t="shared" si="67"/>
        <v>0</v>
      </c>
      <c r="P350" s="16">
        <f t="shared" si="64"/>
        <v>0</v>
      </c>
    </row>
    <row r="351" spans="1:16" s="1" customFormat="1" ht="25.5" hidden="1" x14ac:dyDescent="0.2">
      <c r="A351" s="36"/>
      <c r="B351" s="3"/>
      <c r="C351" s="3"/>
      <c r="D351" s="19" t="s">
        <v>508</v>
      </c>
      <c r="E351" s="10">
        <f t="shared" si="61"/>
        <v>0</v>
      </c>
      <c r="F351" s="17"/>
      <c r="G351" s="17"/>
      <c r="H351" s="17"/>
      <c r="I351" s="17"/>
      <c r="J351" s="10">
        <f t="shared" si="62"/>
        <v>0</v>
      </c>
      <c r="K351" s="17"/>
      <c r="L351" s="17"/>
      <c r="M351" s="17"/>
      <c r="N351" s="17"/>
      <c r="O351" s="17">
        <f t="shared" si="67"/>
        <v>0</v>
      </c>
      <c r="P351" s="16">
        <f t="shared" si="64"/>
        <v>0</v>
      </c>
    </row>
    <row r="352" spans="1:16" s="1" customFormat="1" ht="25.5" x14ac:dyDescent="0.2">
      <c r="A352" s="36" t="s">
        <v>497</v>
      </c>
      <c r="B352" s="3" t="s">
        <v>495</v>
      </c>
      <c r="C352" s="3" t="s">
        <v>121</v>
      </c>
      <c r="D352" s="35" t="s">
        <v>498</v>
      </c>
      <c r="E352" s="10">
        <f t="shared" si="61"/>
        <v>0</v>
      </c>
      <c r="F352" s="17"/>
      <c r="G352" s="17"/>
      <c r="H352" s="17"/>
      <c r="I352" s="17"/>
      <c r="J352" s="10">
        <f t="shared" si="62"/>
        <v>93343589</v>
      </c>
      <c r="K352" s="17">
        <f>20870900+76810671-3849639+200000-688343</f>
        <v>93343589</v>
      </c>
      <c r="L352" s="17"/>
      <c r="M352" s="17"/>
      <c r="N352" s="17"/>
      <c r="O352" s="17">
        <f t="shared" si="67"/>
        <v>93343589</v>
      </c>
      <c r="P352" s="16">
        <f t="shared" si="64"/>
        <v>93343589</v>
      </c>
    </row>
    <row r="353" spans="1:18" s="1" customFormat="1" ht="25.5" hidden="1" x14ac:dyDescent="0.2">
      <c r="A353" s="36"/>
      <c r="B353" s="3"/>
      <c r="C353" s="3"/>
      <c r="D353" s="35" t="s">
        <v>499</v>
      </c>
      <c r="E353" s="10"/>
      <c r="F353" s="17"/>
      <c r="G353" s="17"/>
      <c r="H353" s="17"/>
      <c r="I353" s="17"/>
      <c r="J353" s="10">
        <f t="shared" si="62"/>
        <v>0</v>
      </c>
      <c r="K353" s="17"/>
      <c r="L353" s="17"/>
      <c r="M353" s="17"/>
      <c r="N353" s="17"/>
      <c r="O353" s="17">
        <f t="shared" si="67"/>
        <v>0</v>
      </c>
      <c r="P353" s="16">
        <f t="shared" si="64"/>
        <v>0</v>
      </c>
    </row>
    <row r="354" spans="1:18" ht="29.25" hidden="1" customHeight="1" x14ac:dyDescent="0.2">
      <c r="A354" s="41" t="s">
        <v>587</v>
      </c>
      <c r="B354" s="8" t="s">
        <v>588</v>
      </c>
      <c r="C354" s="4" t="s">
        <v>121</v>
      </c>
      <c r="D354" s="77" t="s">
        <v>589</v>
      </c>
      <c r="E354" s="11">
        <f t="shared" si="61"/>
        <v>0</v>
      </c>
      <c r="F354" s="12"/>
      <c r="G354" s="12"/>
      <c r="H354" s="12"/>
      <c r="I354" s="12"/>
      <c r="J354" s="10">
        <f t="shared" si="62"/>
        <v>0</v>
      </c>
      <c r="K354" s="12"/>
      <c r="L354" s="12"/>
      <c r="M354" s="12"/>
      <c r="N354" s="12"/>
      <c r="O354" s="12">
        <f>K354</f>
        <v>0</v>
      </c>
      <c r="P354" s="13">
        <f t="shared" si="64"/>
        <v>0</v>
      </c>
    </row>
    <row r="355" spans="1:18" s="1" customFormat="1" ht="39.75" hidden="1" customHeight="1" x14ac:dyDescent="0.2">
      <c r="A355" s="36"/>
      <c r="B355" s="18"/>
      <c r="C355" s="3"/>
      <c r="D355" s="35" t="s">
        <v>590</v>
      </c>
      <c r="E355" s="10"/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/>
      <c r="P355" s="13">
        <f t="shared" si="64"/>
        <v>0</v>
      </c>
    </row>
    <row r="356" spans="1:18" s="1" customFormat="1" ht="25.5" x14ac:dyDescent="0.2">
      <c r="A356" s="36" t="s">
        <v>542</v>
      </c>
      <c r="B356" s="22" t="s">
        <v>319</v>
      </c>
      <c r="C356" s="3" t="s">
        <v>69</v>
      </c>
      <c r="D356" s="19" t="s">
        <v>318</v>
      </c>
      <c r="E356" s="10">
        <f t="shared" si="61"/>
        <v>43310000</v>
      </c>
      <c r="F356" s="17">
        <v>43310000</v>
      </c>
      <c r="G356" s="17"/>
      <c r="H356" s="17"/>
      <c r="I356" s="17"/>
      <c r="J356" s="11">
        <f t="shared" ref="J356:J362" si="68">L356+O356</f>
        <v>14634459</v>
      </c>
      <c r="K356" s="99">
        <f>20080755-2446296-3000000</f>
        <v>14634459</v>
      </c>
      <c r="L356" s="17"/>
      <c r="M356" s="17"/>
      <c r="N356" s="17"/>
      <c r="O356" s="17">
        <f>K356</f>
        <v>14634459</v>
      </c>
      <c r="P356" s="16">
        <f t="shared" si="64"/>
        <v>57944459</v>
      </c>
    </row>
    <row r="357" spans="1:18" s="1" customFormat="1" ht="25.5" hidden="1" x14ac:dyDescent="0.2">
      <c r="A357" s="36"/>
      <c r="B357" s="3"/>
      <c r="C357" s="3"/>
      <c r="D357" s="35" t="s">
        <v>499</v>
      </c>
      <c r="E357" s="10">
        <f t="shared" si="61"/>
        <v>0</v>
      </c>
      <c r="F357" s="17"/>
      <c r="G357" s="17"/>
      <c r="H357" s="17"/>
      <c r="I357" s="17"/>
      <c r="J357" s="11">
        <f t="shared" si="68"/>
        <v>0</v>
      </c>
      <c r="K357" s="17"/>
      <c r="L357" s="17"/>
      <c r="M357" s="17"/>
      <c r="N357" s="17"/>
      <c r="O357" s="17">
        <f>K357</f>
        <v>0</v>
      </c>
      <c r="P357" s="16">
        <f t="shared" si="64"/>
        <v>0</v>
      </c>
    </row>
    <row r="358" spans="1:18" hidden="1" x14ac:dyDescent="0.2">
      <c r="A358" s="41" t="s">
        <v>549</v>
      </c>
      <c r="B358" s="3" t="s">
        <v>184</v>
      </c>
      <c r="C358" s="3" t="s">
        <v>121</v>
      </c>
      <c r="D358" s="73" t="s">
        <v>185</v>
      </c>
      <c r="E358" s="10">
        <f t="shared" si="61"/>
        <v>0</v>
      </c>
      <c r="F358" s="12"/>
      <c r="G358" s="12"/>
      <c r="H358" s="12"/>
      <c r="I358" s="12"/>
      <c r="J358" s="11">
        <f t="shared" si="68"/>
        <v>0</v>
      </c>
      <c r="K358" s="12"/>
      <c r="L358" s="12"/>
      <c r="M358" s="12"/>
      <c r="N358" s="12"/>
      <c r="O358" s="17">
        <f>K358</f>
        <v>0</v>
      </c>
      <c r="P358" s="16">
        <f t="shared" si="64"/>
        <v>0</v>
      </c>
    </row>
    <row r="359" spans="1:18" hidden="1" x14ac:dyDescent="0.2">
      <c r="A359" s="41" t="s">
        <v>567</v>
      </c>
      <c r="B359" s="20" t="s">
        <v>460</v>
      </c>
      <c r="C359" s="20" t="s">
        <v>123</v>
      </c>
      <c r="D359" s="24" t="s">
        <v>127</v>
      </c>
      <c r="E359" s="10">
        <f t="shared" si="61"/>
        <v>0</v>
      </c>
      <c r="F359" s="30"/>
      <c r="G359" s="30"/>
      <c r="H359" s="30"/>
      <c r="I359" s="30"/>
      <c r="J359" s="11">
        <f t="shared" si="68"/>
        <v>0</v>
      </c>
      <c r="K359" s="30"/>
      <c r="L359" s="30"/>
      <c r="M359" s="30"/>
      <c r="N359" s="30"/>
      <c r="O359" s="12"/>
      <c r="P359" s="13">
        <f t="shared" si="64"/>
        <v>0</v>
      </c>
    </row>
    <row r="360" spans="1:18" ht="15" hidden="1" customHeight="1" x14ac:dyDescent="0.2">
      <c r="A360" s="41"/>
      <c r="B360" s="20"/>
      <c r="C360" s="20"/>
      <c r="D360" s="24" t="s">
        <v>473</v>
      </c>
      <c r="E360" s="10">
        <f>F360+I360</f>
        <v>0</v>
      </c>
      <c r="F360" s="33"/>
      <c r="G360" s="33"/>
      <c r="H360" s="33"/>
      <c r="I360" s="33"/>
      <c r="J360" s="10">
        <f>L360+O360</f>
        <v>0</v>
      </c>
      <c r="K360" s="33"/>
      <c r="L360" s="33"/>
      <c r="M360" s="33"/>
      <c r="N360" s="33"/>
      <c r="O360" s="33"/>
      <c r="P360" s="16">
        <f>E360+J360</f>
        <v>0</v>
      </c>
    </row>
    <row r="361" spans="1:18" s="1" customFormat="1" ht="25.5" hidden="1" x14ac:dyDescent="0.2">
      <c r="A361" s="36" t="s">
        <v>565</v>
      </c>
      <c r="B361" s="22" t="s">
        <v>566</v>
      </c>
      <c r="C361" s="22" t="s">
        <v>351</v>
      </c>
      <c r="D361" s="21" t="s">
        <v>568</v>
      </c>
      <c r="E361" s="10">
        <f t="shared" si="61"/>
        <v>0</v>
      </c>
      <c r="F361" s="33"/>
      <c r="G361" s="33"/>
      <c r="H361" s="33"/>
      <c r="I361" s="33"/>
      <c r="J361" s="10">
        <f t="shared" si="68"/>
        <v>0</v>
      </c>
      <c r="K361" s="33"/>
      <c r="L361" s="33"/>
      <c r="M361" s="33"/>
      <c r="N361" s="33"/>
      <c r="O361" s="33"/>
      <c r="P361" s="16">
        <f t="shared" si="64"/>
        <v>0</v>
      </c>
    </row>
    <row r="362" spans="1:18" s="1" customFormat="1" ht="25.5" hidden="1" x14ac:dyDescent="0.2">
      <c r="A362" s="36"/>
      <c r="B362" s="22"/>
      <c r="C362" s="22"/>
      <c r="D362" s="24" t="s">
        <v>563</v>
      </c>
      <c r="E362" s="10"/>
      <c r="F362" s="33"/>
      <c r="G362" s="33"/>
      <c r="H362" s="33"/>
      <c r="I362" s="33"/>
      <c r="J362" s="10">
        <f t="shared" si="68"/>
        <v>0</v>
      </c>
      <c r="K362" s="33"/>
      <c r="L362" s="33"/>
      <c r="M362" s="33"/>
      <c r="N362" s="33"/>
      <c r="O362" s="33">
        <f>O361</f>
        <v>0</v>
      </c>
      <c r="P362" s="16">
        <f t="shared" si="64"/>
        <v>0</v>
      </c>
    </row>
    <row r="363" spans="1:18" x14ac:dyDescent="0.2">
      <c r="A363" s="41" t="s">
        <v>660</v>
      </c>
      <c r="B363" s="20" t="s">
        <v>176</v>
      </c>
      <c r="C363" s="4" t="s">
        <v>122</v>
      </c>
      <c r="D363" s="47" t="s">
        <v>77</v>
      </c>
      <c r="E363" s="11"/>
      <c r="F363" s="30"/>
      <c r="G363" s="30"/>
      <c r="H363" s="30"/>
      <c r="I363" s="30"/>
      <c r="J363" s="11">
        <f>L363+O363</f>
        <v>50000</v>
      </c>
      <c r="K363" s="30">
        <v>50000</v>
      </c>
      <c r="L363" s="30"/>
      <c r="M363" s="30"/>
      <c r="N363" s="30"/>
      <c r="O363" s="12">
        <f>K363</f>
        <v>50000</v>
      </c>
      <c r="P363" s="13">
        <f>E363+J363</f>
        <v>50000</v>
      </c>
    </row>
    <row r="364" spans="1:18" x14ac:dyDescent="0.2">
      <c r="A364" s="41" t="s">
        <v>661</v>
      </c>
      <c r="B364" s="4" t="s">
        <v>175</v>
      </c>
      <c r="C364" s="4" t="s">
        <v>121</v>
      </c>
      <c r="D364" s="72" t="s">
        <v>327</v>
      </c>
      <c r="E364" s="11">
        <f>F364+I364</f>
        <v>0</v>
      </c>
      <c r="F364" s="11"/>
      <c r="G364" s="11"/>
      <c r="H364" s="11"/>
      <c r="I364" s="11"/>
      <c r="J364" s="11">
        <f>L364+O364</f>
        <v>1839500</v>
      </c>
      <c r="K364" s="11">
        <f>1789500+50000</f>
        <v>1839500</v>
      </c>
      <c r="L364" s="11"/>
      <c r="M364" s="11"/>
      <c r="N364" s="11"/>
      <c r="O364" s="12">
        <f>K364</f>
        <v>1839500</v>
      </c>
      <c r="P364" s="13">
        <f>E364+J364</f>
        <v>1839500</v>
      </c>
    </row>
    <row r="365" spans="1:18" s="1" customFormat="1" ht="25.5" x14ac:dyDescent="0.2">
      <c r="A365" s="36" t="s">
        <v>662</v>
      </c>
      <c r="B365" s="22" t="s">
        <v>178</v>
      </c>
      <c r="C365" s="22" t="s">
        <v>124</v>
      </c>
      <c r="D365" s="24" t="s">
        <v>386</v>
      </c>
      <c r="E365" s="11">
        <f>F365+I365</f>
        <v>260000</v>
      </c>
      <c r="F365" s="33">
        <v>260000</v>
      </c>
      <c r="G365" s="33"/>
      <c r="H365" s="33"/>
      <c r="I365" s="33"/>
      <c r="J365" s="11">
        <f>L365+O365</f>
        <v>0</v>
      </c>
      <c r="K365" s="33"/>
      <c r="L365" s="33"/>
      <c r="M365" s="33"/>
      <c r="N365" s="33"/>
      <c r="O365" s="33"/>
      <c r="P365" s="13">
        <f>E365+J365</f>
        <v>260000</v>
      </c>
    </row>
    <row r="366" spans="1:18" s="1" customFormat="1" x14ac:dyDescent="0.2">
      <c r="A366" s="36" t="s">
        <v>567</v>
      </c>
      <c r="B366" s="22" t="s">
        <v>460</v>
      </c>
      <c r="C366" s="4" t="s">
        <v>123</v>
      </c>
      <c r="D366" s="14" t="s">
        <v>127</v>
      </c>
      <c r="E366" s="11"/>
      <c r="F366" s="33"/>
      <c r="G366" s="33"/>
      <c r="H366" s="33"/>
      <c r="I366" s="33"/>
      <c r="J366" s="11">
        <f>L366+O366</f>
        <v>31436000</v>
      </c>
      <c r="K366" s="33"/>
      <c r="L366" s="33"/>
      <c r="M366" s="33"/>
      <c r="N366" s="33"/>
      <c r="O366" s="33">
        <f>O367</f>
        <v>31436000</v>
      </c>
      <c r="P366" s="13">
        <f>E366+J366</f>
        <v>31436000</v>
      </c>
    </row>
    <row r="367" spans="1:18" s="1" customFormat="1" ht="13.5" customHeight="1" x14ac:dyDescent="0.2">
      <c r="A367" s="36"/>
      <c r="B367" s="22"/>
      <c r="C367" s="3"/>
      <c r="D367" s="24" t="s">
        <v>473</v>
      </c>
      <c r="E367" s="11"/>
      <c r="F367" s="33"/>
      <c r="G367" s="33"/>
      <c r="H367" s="33"/>
      <c r="I367" s="33"/>
      <c r="J367" s="11">
        <f>L367+O367</f>
        <v>31436000</v>
      </c>
      <c r="K367" s="33"/>
      <c r="L367" s="33"/>
      <c r="M367" s="33"/>
      <c r="N367" s="33"/>
      <c r="O367" s="33">
        <v>31436000</v>
      </c>
      <c r="P367" s="13">
        <f>E367+J367</f>
        <v>31436000</v>
      </c>
    </row>
    <row r="368" spans="1:18" ht="15.75" customHeight="1" x14ac:dyDescent="0.2">
      <c r="A368" s="62">
        <v>3100000</v>
      </c>
      <c r="B368" s="6"/>
      <c r="C368" s="7"/>
      <c r="D368" s="31" t="s">
        <v>70</v>
      </c>
      <c r="E368" s="25">
        <f>E370</f>
        <v>2084600</v>
      </c>
      <c r="F368" s="25">
        <f t="shared" ref="F368:O368" si="69">F370</f>
        <v>2084600</v>
      </c>
      <c r="G368" s="25">
        <f t="shared" si="69"/>
        <v>1500000</v>
      </c>
      <c r="H368" s="25">
        <f t="shared" si="69"/>
        <v>0</v>
      </c>
      <c r="I368" s="25">
        <f t="shared" si="69"/>
        <v>0</v>
      </c>
      <c r="J368" s="25">
        <f t="shared" si="69"/>
        <v>427000</v>
      </c>
      <c r="K368" s="25">
        <f>K370</f>
        <v>427000</v>
      </c>
      <c r="L368" s="25">
        <f t="shared" si="69"/>
        <v>0</v>
      </c>
      <c r="M368" s="25">
        <f t="shared" si="69"/>
        <v>0</v>
      </c>
      <c r="N368" s="25">
        <f t="shared" si="69"/>
        <v>0</v>
      </c>
      <c r="O368" s="25">
        <f t="shared" si="69"/>
        <v>427000</v>
      </c>
      <c r="P368" s="13">
        <f t="shared" si="64"/>
        <v>2511600</v>
      </c>
      <c r="R368" s="34"/>
    </row>
    <row r="369" spans="1:18" s="1" customFormat="1" hidden="1" x14ac:dyDescent="0.2">
      <c r="A369" s="36"/>
      <c r="B369" s="18"/>
      <c r="C369" s="3"/>
      <c r="D369" s="15" t="s">
        <v>472</v>
      </c>
      <c r="E369" s="17"/>
      <c r="F369" s="17"/>
      <c r="G369" s="17"/>
      <c r="H369" s="17"/>
      <c r="I369" s="17"/>
      <c r="J369" s="17">
        <f>J374</f>
        <v>0</v>
      </c>
      <c r="K369" s="17">
        <f>K374</f>
        <v>0</v>
      </c>
      <c r="L369" s="17"/>
      <c r="M369" s="17"/>
      <c r="N369" s="17"/>
      <c r="O369" s="25">
        <f>K369</f>
        <v>0</v>
      </c>
      <c r="P369" s="13">
        <f>E369+J369</f>
        <v>0</v>
      </c>
    </row>
    <row r="370" spans="1:18" x14ac:dyDescent="0.2">
      <c r="A370" s="41" t="s">
        <v>335</v>
      </c>
      <c r="B370" s="8"/>
      <c r="C370" s="7"/>
      <c r="D370" s="15" t="s">
        <v>70</v>
      </c>
      <c r="E370" s="25">
        <f>E371+E372+E375+E380</f>
        <v>2084600</v>
      </c>
      <c r="F370" s="25">
        <f>F371+F372+F375+F380+F381</f>
        <v>2084600</v>
      </c>
      <c r="G370" s="25">
        <f>G371+G372+G375+G380</f>
        <v>1500000</v>
      </c>
      <c r="H370" s="25">
        <f>H371+H372+H375+H380</f>
        <v>0</v>
      </c>
      <c r="I370" s="25">
        <f>I371+I372+I375+I380</f>
        <v>0</v>
      </c>
      <c r="J370" s="25">
        <f t="shared" ref="J370:O370" si="70">J371+J372+J375+J380+J376+J379</f>
        <v>427000</v>
      </c>
      <c r="K370" s="25">
        <f t="shared" si="70"/>
        <v>427000</v>
      </c>
      <c r="L370" s="25">
        <f t="shared" si="70"/>
        <v>0</v>
      </c>
      <c r="M370" s="25">
        <f t="shared" si="70"/>
        <v>0</v>
      </c>
      <c r="N370" s="25">
        <f t="shared" si="70"/>
        <v>0</v>
      </c>
      <c r="O370" s="25">
        <f t="shared" si="70"/>
        <v>427000</v>
      </c>
      <c r="P370" s="25">
        <f>P371+P372+P375+P380</f>
        <v>2511600</v>
      </c>
    </row>
    <row r="371" spans="1:18" ht="25.5" x14ac:dyDescent="0.2">
      <c r="A371" s="41" t="s">
        <v>336</v>
      </c>
      <c r="B371" s="4" t="s">
        <v>187</v>
      </c>
      <c r="C371" s="4" t="s">
        <v>115</v>
      </c>
      <c r="D371" s="14" t="s">
        <v>604</v>
      </c>
      <c r="E371" s="11">
        <f t="shared" ref="E371:E377" si="71">F371+I371</f>
        <v>1885600</v>
      </c>
      <c r="F371" s="12">
        <v>1885600</v>
      </c>
      <c r="G371" s="12">
        <v>1500000</v>
      </c>
      <c r="H371" s="12"/>
      <c r="I371" s="12"/>
      <c r="J371" s="11">
        <f>L371+O371</f>
        <v>228000</v>
      </c>
      <c r="K371" s="12">
        <v>228000</v>
      </c>
      <c r="L371" s="12"/>
      <c r="M371" s="12"/>
      <c r="N371" s="12"/>
      <c r="O371" s="12">
        <f>K371</f>
        <v>228000</v>
      </c>
      <c r="P371" s="13">
        <f t="shared" ref="P371:P385" si="72">E371+J371</f>
        <v>2113600</v>
      </c>
    </row>
    <row r="372" spans="1:18" hidden="1" x14ac:dyDescent="0.2">
      <c r="A372" s="41" t="s">
        <v>339</v>
      </c>
      <c r="B372" s="4" t="s">
        <v>338</v>
      </c>
      <c r="C372" s="4" t="s">
        <v>120</v>
      </c>
      <c r="D372" s="21" t="s">
        <v>337</v>
      </c>
      <c r="E372" s="11">
        <f t="shared" si="71"/>
        <v>0</v>
      </c>
      <c r="F372" s="12"/>
      <c r="G372" s="12"/>
      <c r="H372" s="12"/>
      <c r="I372" s="12"/>
      <c r="J372" s="11">
        <f>L372+O372</f>
        <v>0</v>
      </c>
      <c r="K372" s="12"/>
      <c r="L372" s="12"/>
      <c r="M372" s="12"/>
      <c r="N372" s="12"/>
      <c r="O372" s="12">
        <f>K372</f>
        <v>0</v>
      </c>
      <c r="P372" s="13">
        <f t="shared" si="72"/>
        <v>0</v>
      </c>
    </row>
    <row r="373" spans="1:18" s="1" customFormat="1" ht="17.25" hidden="1" customHeight="1" x14ac:dyDescent="0.2">
      <c r="A373" s="36" t="s">
        <v>348</v>
      </c>
      <c r="B373" s="3" t="s">
        <v>347</v>
      </c>
      <c r="C373" s="3" t="s">
        <v>118</v>
      </c>
      <c r="D373" s="73" t="s">
        <v>346</v>
      </c>
      <c r="E373" s="11">
        <f>F373+I373</f>
        <v>0</v>
      </c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>E373+J373</f>
        <v>0</v>
      </c>
    </row>
    <row r="374" spans="1:18" s="1" customFormat="1" hidden="1" x14ac:dyDescent="0.2">
      <c r="A374" s="36"/>
      <c r="B374" s="3"/>
      <c r="C374" s="3"/>
      <c r="D374" s="73" t="s">
        <v>472</v>
      </c>
      <c r="E374" s="10"/>
      <c r="F374" s="10"/>
      <c r="G374" s="10"/>
      <c r="H374" s="10"/>
      <c r="I374" s="10"/>
      <c r="J374" s="11">
        <f>K374</f>
        <v>0</v>
      </c>
      <c r="K374" s="10"/>
      <c r="L374" s="10"/>
      <c r="M374" s="10"/>
      <c r="N374" s="10"/>
      <c r="O374" s="10">
        <f>K374</f>
        <v>0</v>
      </c>
      <c r="P374" s="13">
        <f>E374+J374</f>
        <v>0</v>
      </c>
    </row>
    <row r="375" spans="1:18" x14ac:dyDescent="0.2">
      <c r="A375" s="41" t="s">
        <v>342</v>
      </c>
      <c r="B375" s="4" t="s">
        <v>341</v>
      </c>
      <c r="C375" s="4" t="s">
        <v>121</v>
      </c>
      <c r="D375" s="5" t="s">
        <v>340</v>
      </c>
      <c r="E375" s="11">
        <f t="shared" si="71"/>
        <v>0</v>
      </c>
      <c r="F375" s="12"/>
      <c r="G375" s="12"/>
      <c r="H375" s="12"/>
      <c r="I375" s="12"/>
      <c r="J375" s="11">
        <f>L375+O375</f>
        <v>199000</v>
      </c>
      <c r="K375" s="12">
        <v>199000</v>
      </c>
      <c r="L375" s="12"/>
      <c r="M375" s="12"/>
      <c r="N375" s="12"/>
      <c r="O375" s="12">
        <f>K375</f>
        <v>199000</v>
      </c>
      <c r="P375" s="13">
        <f t="shared" si="72"/>
        <v>199000</v>
      </c>
    </row>
    <row r="376" spans="1:18" ht="17.25" hidden="1" customHeight="1" x14ac:dyDescent="0.2">
      <c r="A376" s="41" t="s">
        <v>345</v>
      </c>
      <c r="B376" s="4" t="s">
        <v>344</v>
      </c>
      <c r="C376" s="4"/>
      <c r="D376" s="72" t="s">
        <v>343</v>
      </c>
      <c r="E376" s="11">
        <f t="shared" si="71"/>
        <v>0</v>
      </c>
      <c r="F376" s="11"/>
      <c r="G376" s="11"/>
      <c r="H376" s="11">
        <f>H373</f>
        <v>0</v>
      </c>
      <c r="I376" s="11">
        <f>I373</f>
        <v>0</v>
      </c>
      <c r="J376" s="11">
        <f t="shared" ref="J376:O376" si="73">J373+J377</f>
        <v>0</v>
      </c>
      <c r="K376" s="11">
        <f t="shared" si="73"/>
        <v>0</v>
      </c>
      <c r="L376" s="11">
        <f t="shared" si="73"/>
        <v>0</v>
      </c>
      <c r="M376" s="11">
        <f t="shared" si="73"/>
        <v>0</v>
      </c>
      <c r="N376" s="11">
        <f t="shared" si="73"/>
        <v>0</v>
      </c>
      <c r="O376" s="11">
        <f t="shared" si="73"/>
        <v>0</v>
      </c>
      <c r="P376" s="13">
        <f t="shared" si="72"/>
        <v>0</v>
      </c>
    </row>
    <row r="377" spans="1:18" s="1" customFormat="1" ht="38.25" hidden="1" x14ac:dyDescent="0.2">
      <c r="A377" s="36" t="s">
        <v>517</v>
      </c>
      <c r="B377" s="3" t="s">
        <v>518</v>
      </c>
      <c r="C377" s="3"/>
      <c r="D377" s="82" t="s">
        <v>519</v>
      </c>
      <c r="E377" s="11">
        <f t="shared" si="71"/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 t="shared" si="72"/>
        <v>0</v>
      </c>
    </row>
    <row r="378" spans="1:18" s="1" customFormat="1" ht="51" hidden="1" x14ac:dyDescent="0.2">
      <c r="A378" s="36"/>
      <c r="B378" s="3"/>
      <c r="C378" s="3"/>
      <c r="D378" s="73" t="s">
        <v>520</v>
      </c>
      <c r="E378" s="11"/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 t="shared" si="72"/>
        <v>0</v>
      </c>
    </row>
    <row r="379" spans="1:18" hidden="1" x14ac:dyDescent="0.2">
      <c r="A379" s="41" t="s">
        <v>465</v>
      </c>
      <c r="B379" s="4" t="s">
        <v>175</v>
      </c>
      <c r="C379" s="4" t="s">
        <v>121</v>
      </c>
      <c r="D379" s="82" t="s">
        <v>327</v>
      </c>
      <c r="E379" s="11"/>
      <c r="F379" s="11"/>
      <c r="G379" s="11"/>
      <c r="H379" s="11"/>
      <c r="I379" s="11"/>
      <c r="J379" s="11">
        <f>L379+O379</f>
        <v>0</v>
      </c>
      <c r="K379" s="11"/>
      <c r="L379" s="11"/>
      <c r="M379" s="11"/>
      <c r="N379" s="11"/>
      <c r="O379" s="11">
        <f>K379</f>
        <v>0</v>
      </c>
      <c r="P379" s="13">
        <f t="shared" si="72"/>
        <v>0</v>
      </c>
    </row>
    <row r="380" spans="1:18" hidden="1" x14ac:dyDescent="0.2">
      <c r="A380" s="41" t="s">
        <v>448</v>
      </c>
      <c r="B380" s="4" t="s">
        <v>180</v>
      </c>
      <c r="C380" s="4"/>
      <c r="D380" s="82" t="s">
        <v>182</v>
      </c>
      <c r="E380" s="11">
        <f>E381</f>
        <v>199000</v>
      </c>
      <c r="F380" s="11"/>
      <c r="G380" s="11"/>
      <c r="H380" s="11">
        <f t="shared" ref="H380:O380" si="74">H381</f>
        <v>0</v>
      </c>
      <c r="I380" s="11">
        <f t="shared" si="74"/>
        <v>0</v>
      </c>
      <c r="J380" s="11">
        <f t="shared" si="74"/>
        <v>0</v>
      </c>
      <c r="K380" s="11">
        <f>K381</f>
        <v>0</v>
      </c>
      <c r="L380" s="11">
        <f t="shared" si="74"/>
        <v>0</v>
      </c>
      <c r="M380" s="11">
        <f t="shared" si="74"/>
        <v>0</v>
      </c>
      <c r="N380" s="11">
        <f t="shared" si="74"/>
        <v>0</v>
      </c>
      <c r="O380" s="11">
        <f t="shared" si="74"/>
        <v>0</v>
      </c>
      <c r="P380" s="13">
        <f t="shared" si="72"/>
        <v>199000</v>
      </c>
    </row>
    <row r="381" spans="1:18" ht="15" customHeight="1" x14ac:dyDescent="0.2">
      <c r="A381" s="41" t="s">
        <v>449</v>
      </c>
      <c r="B381" s="4" t="s">
        <v>184</v>
      </c>
      <c r="C381" s="4" t="s">
        <v>121</v>
      </c>
      <c r="D381" s="82" t="s">
        <v>185</v>
      </c>
      <c r="E381" s="11">
        <f>F381+I381</f>
        <v>199000</v>
      </c>
      <c r="F381" s="11">
        <v>199000</v>
      </c>
      <c r="G381" s="11"/>
      <c r="H381" s="11"/>
      <c r="I381" s="11"/>
      <c r="J381" s="11">
        <f>L381+O381</f>
        <v>0</v>
      </c>
      <c r="K381" s="11"/>
      <c r="L381" s="11"/>
      <c r="M381" s="11"/>
      <c r="N381" s="11"/>
      <c r="O381" s="11"/>
      <c r="P381" s="13">
        <f t="shared" si="72"/>
        <v>199000</v>
      </c>
    </row>
    <row r="382" spans="1:18" ht="25.5" x14ac:dyDescent="0.2">
      <c r="A382" s="62" t="s">
        <v>646</v>
      </c>
      <c r="B382" s="6"/>
      <c r="C382" s="7"/>
      <c r="D382" s="31" t="s">
        <v>649</v>
      </c>
      <c r="E382" s="25">
        <f>E383</f>
        <v>3794000</v>
      </c>
      <c r="F382" s="25">
        <f t="shared" ref="F382:P383" si="75">F383</f>
        <v>3794000</v>
      </c>
      <c r="G382" s="25">
        <f t="shared" si="75"/>
        <v>3070100</v>
      </c>
      <c r="H382" s="25">
        <f t="shared" si="75"/>
        <v>78500</v>
      </c>
      <c r="I382" s="25">
        <f t="shared" si="75"/>
        <v>0</v>
      </c>
      <c r="J382" s="25">
        <f t="shared" si="75"/>
        <v>0</v>
      </c>
      <c r="K382" s="25">
        <f t="shared" si="75"/>
        <v>0</v>
      </c>
      <c r="L382" s="25">
        <f t="shared" si="75"/>
        <v>0</v>
      </c>
      <c r="M382" s="25">
        <f t="shared" si="75"/>
        <v>0</v>
      </c>
      <c r="N382" s="25">
        <f t="shared" si="75"/>
        <v>0</v>
      </c>
      <c r="O382" s="25">
        <f t="shared" si="75"/>
        <v>0</v>
      </c>
      <c r="P382" s="25">
        <f t="shared" si="75"/>
        <v>3794000</v>
      </c>
      <c r="R382" s="34"/>
    </row>
    <row r="383" spans="1:18" ht="25.5" x14ac:dyDescent="0.2">
      <c r="A383" s="41" t="s">
        <v>647</v>
      </c>
      <c r="B383" s="8"/>
      <c r="C383" s="7"/>
      <c r="D383" s="15" t="s">
        <v>649</v>
      </c>
      <c r="E383" s="25">
        <f>E384</f>
        <v>3794000</v>
      </c>
      <c r="F383" s="25">
        <f t="shared" si="75"/>
        <v>3794000</v>
      </c>
      <c r="G383" s="25">
        <f t="shared" si="75"/>
        <v>3070100</v>
      </c>
      <c r="H383" s="25">
        <f t="shared" si="75"/>
        <v>78500</v>
      </c>
      <c r="I383" s="25">
        <f t="shared" si="75"/>
        <v>0</v>
      </c>
      <c r="J383" s="25">
        <f t="shared" si="75"/>
        <v>0</v>
      </c>
      <c r="K383" s="25">
        <f t="shared" si="75"/>
        <v>0</v>
      </c>
      <c r="L383" s="25">
        <f t="shared" si="75"/>
        <v>0</v>
      </c>
      <c r="M383" s="25">
        <f t="shared" si="75"/>
        <v>0</v>
      </c>
      <c r="N383" s="25">
        <f t="shared" si="75"/>
        <v>0</v>
      </c>
      <c r="O383" s="25">
        <f t="shared" si="75"/>
        <v>0</v>
      </c>
      <c r="P383" s="25">
        <f t="shared" si="75"/>
        <v>3794000</v>
      </c>
    </row>
    <row r="384" spans="1:18" ht="25.9" customHeight="1" x14ac:dyDescent="0.2">
      <c r="A384" s="41" t="s">
        <v>648</v>
      </c>
      <c r="B384" s="4" t="s">
        <v>187</v>
      </c>
      <c r="C384" s="4" t="s">
        <v>115</v>
      </c>
      <c r="D384" s="14" t="s">
        <v>604</v>
      </c>
      <c r="E384" s="11">
        <f>F384+I384</f>
        <v>3794000</v>
      </c>
      <c r="F384" s="12">
        <v>3794000</v>
      </c>
      <c r="G384" s="12">
        <v>3070100</v>
      </c>
      <c r="H384" s="12">
        <v>78500</v>
      </c>
      <c r="I384" s="12"/>
      <c r="J384" s="11">
        <f>L384+O384</f>
        <v>0</v>
      </c>
      <c r="K384" s="12"/>
      <c r="L384" s="12"/>
      <c r="M384" s="12"/>
      <c r="N384" s="12"/>
      <c r="O384" s="12">
        <f>K384</f>
        <v>0</v>
      </c>
      <c r="P384" s="13">
        <f>E384+J384</f>
        <v>3794000</v>
      </c>
    </row>
    <row r="385" spans="1:18" ht="15" customHeight="1" x14ac:dyDescent="0.2">
      <c r="A385" s="62">
        <v>3700000</v>
      </c>
      <c r="B385" s="6"/>
      <c r="C385" s="7"/>
      <c r="D385" s="31" t="s">
        <v>71</v>
      </c>
      <c r="E385" s="25">
        <f>E386</f>
        <v>29790400</v>
      </c>
      <c r="F385" s="25">
        <f t="shared" ref="F385:O385" si="76">F386</f>
        <v>25050400</v>
      </c>
      <c r="G385" s="25">
        <f t="shared" si="76"/>
        <v>7380000</v>
      </c>
      <c r="H385" s="25">
        <f t="shared" si="76"/>
        <v>102000</v>
      </c>
      <c r="I385" s="25">
        <f t="shared" si="76"/>
        <v>0</v>
      </c>
      <c r="J385" s="25">
        <f t="shared" si="76"/>
        <v>6770040</v>
      </c>
      <c r="K385" s="25">
        <f>K386</f>
        <v>6770040</v>
      </c>
      <c r="L385" s="25">
        <f t="shared" si="76"/>
        <v>0</v>
      </c>
      <c r="M385" s="25">
        <f t="shared" si="76"/>
        <v>0</v>
      </c>
      <c r="N385" s="25">
        <f t="shared" si="76"/>
        <v>0</v>
      </c>
      <c r="O385" s="25">
        <f t="shared" si="76"/>
        <v>6770040</v>
      </c>
      <c r="P385" s="13">
        <f t="shared" si="72"/>
        <v>36560440</v>
      </c>
      <c r="R385" s="34"/>
    </row>
    <row r="386" spans="1:18" x14ac:dyDescent="0.2">
      <c r="A386" s="41" t="s">
        <v>349</v>
      </c>
      <c r="B386" s="8"/>
      <c r="C386" s="7"/>
      <c r="D386" s="15" t="s">
        <v>71</v>
      </c>
      <c r="E386" s="25">
        <f>E387+E389+E391+E388+E390</f>
        <v>29790400</v>
      </c>
      <c r="F386" s="25">
        <f t="shared" ref="F386:P386" si="77">F387+F389+F391+F388+F390</f>
        <v>25050400</v>
      </c>
      <c r="G386" s="25">
        <f t="shared" si="77"/>
        <v>7380000</v>
      </c>
      <c r="H386" s="25">
        <f t="shared" si="77"/>
        <v>102000</v>
      </c>
      <c r="I386" s="25">
        <f t="shared" si="77"/>
        <v>0</v>
      </c>
      <c r="J386" s="25">
        <f>J387+J389+J391+J388+J390</f>
        <v>6770040</v>
      </c>
      <c r="K386" s="25">
        <f>K387+K389+K391+K388+K390</f>
        <v>6770040</v>
      </c>
      <c r="L386" s="25">
        <f t="shared" si="77"/>
        <v>0</v>
      </c>
      <c r="M386" s="25">
        <f t="shared" si="77"/>
        <v>0</v>
      </c>
      <c r="N386" s="25">
        <f t="shared" si="77"/>
        <v>0</v>
      </c>
      <c r="O386" s="25">
        <f t="shared" si="77"/>
        <v>6770040</v>
      </c>
      <c r="P386" s="25">
        <f t="shared" si="77"/>
        <v>36560440</v>
      </c>
    </row>
    <row r="387" spans="1:18" ht="25.9" customHeight="1" x14ac:dyDescent="0.2">
      <c r="A387" s="41" t="s">
        <v>350</v>
      </c>
      <c r="B387" s="4" t="s">
        <v>187</v>
      </c>
      <c r="C387" s="4" t="s">
        <v>115</v>
      </c>
      <c r="D387" s="14" t="s">
        <v>604</v>
      </c>
      <c r="E387" s="11">
        <f>F387+I387</f>
        <v>9555400</v>
      </c>
      <c r="F387" s="12">
        <f>9561400-6000</f>
        <v>9555400</v>
      </c>
      <c r="G387" s="12">
        <v>7380000</v>
      </c>
      <c r="H387" s="12">
        <f>108000-6000</f>
        <v>102000</v>
      </c>
      <c r="I387" s="12"/>
      <c r="J387" s="11">
        <f>L387+O387</f>
        <v>6660640</v>
      </c>
      <c r="K387" s="12">
        <f>8877500-1692000-94860-400000+120000-150000</f>
        <v>6660640</v>
      </c>
      <c r="L387" s="12"/>
      <c r="M387" s="12"/>
      <c r="N387" s="12"/>
      <c r="O387" s="12">
        <f>K387</f>
        <v>6660640</v>
      </c>
      <c r="P387" s="13">
        <f>E387+J387</f>
        <v>16216040</v>
      </c>
    </row>
    <row r="388" spans="1:18" x14ac:dyDescent="0.2">
      <c r="A388" s="41" t="s">
        <v>502</v>
      </c>
      <c r="B388" s="4" t="s">
        <v>27</v>
      </c>
      <c r="C388" s="4" t="s">
        <v>503</v>
      </c>
      <c r="D388" s="47" t="s">
        <v>504</v>
      </c>
      <c r="E388" s="11">
        <f>F388+I388</f>
        <v>14745000</v>
      </c>
      <c r="F388" s="12">
        <v>14745000</v>
      </c>
      <c r="G388" s="12"/>
      <c r="H388" s="12"/>
      <c r="I388" s="12"/>
      <c r="J388" s="11"/>
      <c r="K388" s="12"/>
      <c r="L388" s="12"/>
      <c r="M388" s="12"/>
      <c r="N388" s="12"/>
      <c r="O388" s="12"/>
      <c r="P388" s="13">
        <f>E388+J388</f>
        <v>14745000</v>
      </c>
    </row>
    <row r="389" spans="1:18" x14ac:dyDescent="0.2">
      <c r="A389" s="41" t="s">
        <v>639</v>
      </c>
      <c r="B389" s="8" t="s">
        <v>640</v>
      </c>
      <c r="C389" s="4" t="s">
        <v>128</v>
      </c>
      <c r="D389" s="14" t="s">
        <v>641</v>
      </c>
      <c r="E389" s="13">
        <f>5000000-260000</f>
        <v>4740000</v>
      </c>
      <c r="F389" s="12"/>
      <c r="G389" s="12"/>
      <c r="H389" s="12"/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4740000</v>
      </c>
    </row>
    <row r="390" spans="1:18" ht="20.25" hidden="1" customHeight="1" x14ac:dyDescent="0.2">
      <c r="A390" s="41" t="s">
        <v>486</v>
      </c>
      <c r="B390" s="8" t="s">
        <v>487</v>
      </c>
      <c r="C390" s="4" t="s">
        <v>476</v>
      </c>
      <c r="D390" s="14" t="s">
        <v>488</v>
      </c>
      <c r="E390" s="25">
        <v>0</v>
      </c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>K390</f>
        <v>0</v>
      </c>
      <c r="P390" s="13">
        <f>E390+J390</f>
        <v>0</v>
      </c>
    </row>
    <row r="391" spans="1:18" ht="25.5" x14ac:dyDescent="0.2">
      <c r="A391" s="41" t="s">
        <v>477</v>
      </c>
      <c r="B391" s="8" t="s">
        <v>474</v>
      </c>
      <c r="C391" s="4" t="s">
        <v>476</v>
      </c>
      <c r="D391" s="14" t="s">
        <v>475</v>
      </c>
      <c r="E391" s="25">
        <f>F391+I391</f>
        <v>750000</v>
      </c>
      <c r="F391" s="12">
        <v>750000</v>
      </c>
      <c r="G391" s="12"/>
      <c r="H391" s="12"/>
      <c r="I391" s="12"/>
      <c r="J391" s="11">
        <f>L391+O391</f>
        <v>109400</v>
      </c>
      <c r="K391" s="12">
        <v>109400</v>
      </c>
      <c r="L391" s="12"/>
      <c r="M391" s="12"/>
      <c r="N391" s="12"/>
      <c r="O391" s="12">
        <f>K391</f>
        <v>109400</v>
      </c>
      <c r="P391" s="13">
        <f>E391+J391</f>
        <v>859400</v>
      </c>
    </row>
    <row r="392" spans="1:18" ht="15.75" customHeight="1" x14ac:dyDescent="0.2">
      <c r="A392" s="41"/>
      <c r="B392" s="8"/>
      <c r="C392" s="91"/>
      <c r="D392" s="31" t="s">
        <v>72</v>
      </c>
      <c r="E392" s="25">
        <f t="shared" ref="E392:P392" si="78">E14+E42+E91+E149+E236+E242+E256+E273+E303+E368+E385+E382</f>
        <v>969155920</v>
      </c>
      <c r="F392" s="25">
        <f t="shared" si="78"/>
        <v>964415920</v>
      </c>
      <c r="G392" s="25">
        <f t="shared" si="78"/>
        <v>533089630</v>
      </c>
      <c r="H392" s="25">
        <f t="shared" si="78"/>
        <v>61998667</v>
      </c>
      <c r="I392" s="25">
        <f t="shared" si="78"/>
        <v>0</v>
      </c>
      <c r="J392" s="25">
        <f t="shared" si="78"/>
        <v>251806828</v>
      </c>
      <c r="K392" s="25">
        <f t="shared" si="78"/>
        <v>191874793</v>
      </c>
      <c r="L392" s="25">
        <f t="shared" si="78"/>
        <v>27445458</v>
      </c>
      <c r="M392" s="25">
        <f t="shared" si="78"/>
        <v>3004583</v>
      </c>
      <c r="N392" s="25">
        <f t="shared" si="78"/>
        <v>643250</v>
      </c>
      <c r="O392" s="25">
        <f t="shared" si="78"/>
        <v>224361370</v>
      </c>
      <c r="P392" s="25">
        <f t="shared" si="78"/>
        <v>1220962748</v>
      </c>
      <c r="R392" s="34"/>
    </row>
    <row r="393" spans="1:18" x14ac:dyDescent="0.2">
      <c r="P393" s="34"/>
    </row>
    <row r="394" spans="1:18" ht="19.5" customHeight="1" x14ac:dyDescent="0.2">
      <c r="D394" s="92" t="s">
        <v>592</v>
      </c>
      <c r="E394" s="92"/>
      <c r="F394" s="92"/>
      <c r="G394" s="92"/>
      <c r="H394" s="92"/>
      <c r="I394" s="92"/>
      <c r="J394" s="92"/>
      <c r="K394" s="92"/>
      <c r="O394" s="92" t="s">
        <v>593</v>
      </c>
    </row>
    <row r="395" spans="1:18" ht="25.5" customHeight="1" x14ac:dyDescent="0.25">
      <c r="D395" s="119" t="s">
        <v>599</v>
      </c>
      <c r="E395" s="120"/>
      <c r="O395" s="2" t="s">
        <v>600</v>
      </c>
    </row>
    <row r="396" spans="1:18" ht="13.9" customHeight="1" x14ac:dyDescent="0.2"/>
    <row r="397" spans="1:18" x14ac:dyDescent="0.2">
      <c r="E397" s="93">
        <v>1054447629</v>
      </c>
      <c r="F397" s="93"/>
      <c r="G397" s="93"/>
      <c r="H397" s="93"/>
      <c r="I397" s="93"/>
      <c r="J397" s="93">
        <v>30526858</v>
      </c>
      <c r="K397" s="93">
        <v>2500000</v>
      </c>
      <c r="L397" s="93"/>
      <c r="M397" s="93"/>
      <c r="N397" s="93"/>
      <c r="O397" s="93"/>
      <c r="P397" s="93">
        <v>1084974487</v>
      </c>
      <c r="Q397" s="94" t="s">
        <v>595</v>
      </c>
    </row>
    <row r="398" spans="1:18" x14ac:dyDescent="0.2">
      <c r="E398" s="93">
        <f>E392-E397</f>
        <v>-85291709</v>
      </c>
      <c r="F398" s="93"/>
      <c r="G398" s="93"/>
      <c r="H398" s="93"/>
      <c r="I398" s="93"/>
      <c r="J398" s="93">
        <f>J397-J392</f>
        <v>-221279970</v>
      </c>
      <c r="K398" s="93">
        <f>K397-K392</f>
        <v>-189374793</v>
      </c>
      <c r="L398" s="93"/>
      <c r="M398" s="93"/>
      <c r="N398" s="93"/>
      <c r="O398" s="93"/>
      <c r="P398" s="93">
        <f>P397-P392</f>
        <v>-135988261</v>
      </c>
      <c r="Q398" s="94" t="s">
        <v>596</v>
      </c>
    </row>
    <row r="399" spans="1:18" x14ac:dyDescent="0.2">
      <c r="E399" s="93">
        <v>-85291709</v>
      </c>
      <c r="F399" s="93"/>
      <c r="G399" s="93"/>
      <c r="H399" s="93"/>
      <c r="I399" s="93"/>
      <c r="J399" s="93">
        <v>188066132</v>
      </c>
      <c r="K399" s="93">
        <v>187997293</v>
      </c>
      <c r="L399" s="93"/>
      <c r="M399" s="93"/>
      <c r="N399" s="93"/>
      <c r="O399" s="93"/>
      <c r="P399" s="93">
        <v>102774423</v>
      </c>
      <c r="Q399" s="94" t="s">
        <v>597</v>
      </c>
    </row>
    <row r="400" spans="1:18" x14ac:dyDescent="0.2">
      <c r="E400" s="93">
        <f>E398-E399</f>
        <v>0</v>
      </c>
      <c r="F400" s="93"/>
      <c r="G400" s="93"/>
      <c r="H400" s="93"/>
      <c r="I400" s="93"/>
      <c r="J400" s="93">
        <f>J398+J399</f>
        <v>-33213838</v>
      </c>
      <c r="K400" s="93">
        <f>K398+K399</f>
        <v>-1377500</v>
      </c>
      <c r="L400" s="93"/>
      <c r="M400" s="93"/>
      <c r="N400" s="93"/>
      <c r="O400" s="93"/>
      <c r="P400" s="93">
        <f>P398+P399</f>
        <v>-33213838</v>
      </c>
    </row>
    <row r="401" spans="4:17" x14ac:dyDescent="0.2">
      <c r="E401" s="93">
        <v>0</v>
      </c>
      <c r="F401" s="93"/>
      <c r="G401" s="93"/>
      <c r="H401" s="93"/>
      <c r="I401" s="93"/>
      <c r="J401" s="93">
        <v>-1377500</v>
      </c>
      <c r="K401" s="93">
        <v>-1377500</v>
      </c>
      <c r="L401" s="93"/>
      <c r="M401" s="93"/>
      <c r="N401" s="93"/>
      <c r="O401" s="93"/>
      <c r="P401" s="93">
        <v>-1377500</v>
      </c>
      <c r="Q401" s="2" t="s">
        <v>598</v>
      </c>
    </row>
    <row r="402" spans="4:17" x14ac:dyDescent="0.2">
      <c r="E402" s="93">
        <f>E400+E401</f>
        <v>0</v>
      </c>
      <c r="F402" s="93"/>
      <c r="G402" s="93"/>
      <c r="H402" s="93"/>
      <c r="I402" s="93"/>
      <c r="J402" s="93">
        <f>J400-J401</f>
        <v>-31836338</v>
      </c>
      <c r="K402" s="93">
        <f>K400-K401</f>
        <v>0</v>
      </c>
      <c r="L402" s="93"/>
      <c r="M402" s="93"/>
      <c r="N402" s="93"/>
      <c r="O402" s="93"/>
      <c r="P402" s="93">
        <f>P400-P401</f>
        <v>-31836338</v>
      </c>
    </row>
    <row r="403" spans="4:17" x14ac:dyDescent="0.2"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</row>
    <row r="405" spans="4:17" x14ac:dyDescent="0.2">
      <c r="E405" s="2">
        <f>50000/E392*100</f>
        <v>5.1591285744815966E-3</v>
      </c>
    </row>
    <row r="406" spans="4:17" x14ac:dyDescent="0.2">
      <c r="E406" s="2">
        <f>E389/E392*100</f>
        <v>0.48908538886085534</v>
      </c>
    </row>
    <row r="407" spans="4:17" x14ac:dyDescent="0.2">
      <c r="D407" s="95"/>
    </row>
  </sheetData>
  <mergeCells count="25">
    <mergeCell ref="D395:E395"/>
    <mergeCell ref="L10:L12"/>
    <mergeCell ref="G11:G12"/>
    <mergeCell ref="H11:H12"/>
    <mergeCell ref="M10:N10"/>
    <mergeCell ref="N11:N12"/>
    <mergeCell ref="N2:P2"/>
    <mergeCell ref="N4:P4"/>
    <mergeCell ref="C5:P5"/>
    <mergeCell ref="C6:P6"/>
    <mergeCell ref="P9:P12"/>
    <mergeCell ref="J9:O9"/>
    <mergeCell ref="E9:I9"/>
    <mergeCell ref="G10:H10"/>
    <mergeCell ref="I10:I12"/>
    <mergeCell ref="A9:A12"/>
    <mergeCell ref="B9:B12"/>
    <mergeCell ref="C9:C12"/>
    <mergeCell ref="D9:D12"/>
    <mergeCell ref="O10:O12"/>
    <mergeCell ref="M11:M12"/>
    <mergeCell ref="J10:J12"/>
    <mergeCell ref="K10:K12"/>
    <mergeCell ref="E10:E12"/>
    <mergeCell ref="F10:F12"/>
  </mergeCells>
  <phoneticPr fontId="13" type="noConversion"/>
  <hyperlinks>
    <hyperlink ref="C36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2021-03-16T07:17:37Z</cp:lastPrinted>
  <dcterms:created xsi:type="dcterms:W3CDTF">2016-02-15T14:53:30Z</dcterms:created>
  <dcterms:modified xsi:type="dcterms:W3CDTF">2021-08-31T11:08:38Z</dcterms:modified>
</cp:coreProperties>
</file>